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1 - CCTV\1. Publicación\"/>
    </mc:Choice>
  </mc:AlternateContent>
  <xr:revisionPtr revIDLastSave="0" documentId="13_ncr:1_{BEE037B8-D7CC-4C41-B32E-6F78E70044A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Disp. CCTV" sheetId="7" r:id="rId1"/>
    <sheet name="Oportunidad CCTV" sheetId="5" r:id="rId2"/>
    <sheet name="Disponibilidad" sheetId="8" r:id="rId3"/>
    <sheet name="Oportunidad" sheetId="9" r:id="rId4"/>
  </sheets>
  <definedNames>
    <definedName name="_xlnm._FilterDatabase" localSheetId="2" hidden="1">Disponibilidad!$A$7:$J$26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5" l="1"/>
  <c r="K26" i="9" l="1"/>
  <c r="J26" i="9"/>
  <c r="L26" i="9" s="1"/>
  <c r="M26" i="9" s="1"/>
  <c r="K25" i="9"/>
  <c r="J25" i="9"/>
  <c r="K24" i="9"/>
  <c r="L24" i="9" s="1"/>
  <c r="M24" i="9" s="1"/>
  <c r="J24" i="9"/>
  <c r="K23" i="9"/>
  <c r="J23" i="9"/>
  <c r="K22" i="9"/>
  <c r="J22" i="9"/>
  <c r="K21" i="9"/>
  <c r="L21" i="9" s="1"/>
  <c r="M21" i="9" s="1"/>
  <c r="J21" i="9"/>
  <c r="K20" i="9"/>
  <c r="L20" i="9" s="1"/>
  <c r="M20" i="9" s="1"/>
  <c r="J20" i="9"/>
  <c r="K19" i="9"/>
  <c r="J19" i="9"/>
  <c r="F19" i="9"/>
  <c r="K18" i="9"/>
  <c r="J18" i="9"/>
  <c r="K17" i="9"/>
  <c r="J17" i="9"/>
  <c r="K16" i="9"/>
  <c r="J16" i="9"/>
  <c r="K15" i="9"/>
  <c r="J15" i="9"/>
  <c r="K14" i="9"/>
  <c r="J14" i="9"/>
  <c r="K13" i="9"/>
  <c r="J13" i="9"/>
  <c r="K12" i="9"/>
  <c r="J12" i="9"/>
  <c r="K11" i="9"/>
  <c r="J11" i="9"/>
  <c r="K10" i="9"/>
  <c r="J10" i="9"/>
  <c r="K9" i="9"/>
  <c r="J9" i="9"/>
  <c r="K8" i="9"/>
  <c r="J8" i="9"/>
  <c r="F8" i="9"/>
  <c r="H26" i="8"/>
  <c r="J26" i="8" s="1"/>
  <c r="H25" i="8"/>
  <c r="J25" i="8" s="1"/>
  <c r="H24" i="8"/>
  <c r="J24" i="8" s="1"/>
  <c r="H23" i="8"/>
  <c r="J23" i="8" s="1"/>
  <c r="H22" i="8"/>
  <c r="J22" i="8" s="1"/>
  <c r="H21" i="8"/>
  <c r="J21" i="8" s="1"/>
  <c r="H20" i="8"/>
  <c r="J20" i="8" s="1"/>
  <c r="H19" i="8"/>
  <c r="J19" i="8" s="1"/>
  <c r="F19" i="8"/>
  <c r="H18" i="8"/>
  <c r="J18" i="8" s="1"/>
  <c r="H17" i="8"/>
  <c r="J17" i="8" s="1"/>
  <c r="H16" i="8"/>
  <c r="J16" i="8" s="1"/>
  <c r="H15" i="8"/>
  <c r="J15" i="8" s="1"/>
  <c r="J14" i="8"/>
  <c r="H14" i="8"/>
  <c r="H13" i="8"/>
  <c r="J13" i="8" s="1"/>
  <c r="H12" i="8"/>
  <c r="J12" i="8" s="1"/>
  <c r="H11" i="8"/>
  <c r="J11" i="8" s="1"/>
  <c r="H10" i="8"/>
  <c r="J10" i="8" s="1"/>
  <c r="J9" i="8"/>
  <c r="H9" i="8"/>
  <c r="H8" i="8"/>
  <c r="J8" i="8" s="1"/>
  <c r="F8" i="8"/>
  <c r="L11" i="9" l="1"/>
  <c r="M11" i="9" s="1"/>
  <c r="L23" i="9"/>
  <c r="M23" i="9" s="1"/>
  <c r="L15" i="9"/>
  <c r="M15" i="9" s="1"/>
  <c r="L22" i="9"/>
  <c r="M22" i="9" s="1"/>
  <c r="L18" i="9"/>
  <c r="M18" i="9" s="1"/>
  <c r="L25" i="9"/>
  <c r="M25" i="9" s="1"/>
  <c r="L19" i="9"/>
  <c r="M19" i="9" s="1"/>
  <c r="L9" i="9"/>
  <c r="M9" i="9" s="1"/>
  <c r="L13" i="9"/>
  <c r="M13" i="9" s="1"/>
  <c r="L17" i="9"/>
  <c r="M17" i="9" s="1"/>
  <c r="L10" i="9"/>
  <c r="M10" i="9" s="1"/>
  <c r="L14" i="9"/>
  <c r="M14" i="9" s="1"/>
  <c r="L8" i="9"/>
  <c r="M8" i="9" s="1"/>
  <c r="L12" i="9"/>
  <c r="M12" i="9" s="1"/>
  <c r="L16" i="9"/>
  <c r="M16" i="9" s="1"/>
  <c r="H10" i="5" l="1"/>
  <c r="H11" i="5"/>
  <c r="H12" i="5"/>
  <c r="H13" i="5"/>
  <c r="H14" i="5"/>
  <c r="H15" i="5"/>
  <c r="H16" i="5"/>
  <c r="E14" i="5"/>
  <c r="E15" i="5"/>
  <c r="E13" i="5"/>
  <c r="F16" i="5"/>
  <c r="E16" i="5"/>
  <c r="F11" i="5"/>
  <c r="E11" i="5"/>
  <c r="F10" i="5"/>
  <c r="E10" i="5"/>
  <c r="E12" i="5"/>
  <c r="F12" i="5"/>
  <c r="F9" i="5"/>
  <c r="E9" i="5"/>
  <c r="H9" i="5" s="1"/>
  <c r="F14" i="7" l="1"/>
  <c r="G14" i="7" s="1"/>
  <c r="F15" i="7"/>
  <c r="G15" i="7" s="1"/>
  <c r="K10" i="5" l="1"/>
  <c r="K11" i="5"/>
  <c r="K12" i="5"/>
  <c r="K13" i="5"/>
  <c r="K16" i="5"/>
  <c r="L10" i="5" l="1"/>
  <c r="L11" i="5"/>
  <c r="L12" i="5"/>
  <c r="L13" i="5"/>
  <c r="M13" i="5" s="1"/>
  <c r="L14" i="5"/>
  <c r="M14" i="5" s="1"/>
  <c r="L15" i="5"/>
  <c r="L16" i="5"/>
  <c r="M16" i="5" s="1"/>
  <c r="L9" i="5"/>
  <c r="F9" i="7"/>
  <c r="G9" i="7" s="1"/>
  <c r="F10" i="7"/>
  <c r="G10" i="7" s="1"/>
  <c r="F11" i="7"/>
  <c r="G11" i="7" s="1"/>
  <c r="F12" i="7"/>
  <c r="G12" i="7" s="1"/>
  <c r="F13" i="7"/>
  <c r="G13" i="7" s="1"/>
  <c r="F8" i="7"/>
  <c r="G8" i="7" s="1"/>
  <c r="M9" i="5" l="1"/>
  <c r="M12" i="5"/>
  <c r="M15" i="5"/>
  <c r="M11" i="5"/>
  <c r="M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Angelica Maria Lopez</author>
  </authors>
  <commentList>
    <comment ref="E7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Como asi que elementos reportados fuera de servicio? De donde sacan el dato o es un ejemplo?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Angelica Maria Lopez</author>
  </authors>
  <commentList>
    <comment ref="F8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 requiere pasarlo a dos, dado que los sitios son trabajo en altura y se pueden estar demorando 20 minutos para organizarsen y subir por ende no tendrian una hora para diagnosticar</t>
        </r>
      </text>
    </comment>
    <comment ref="I8" authorId="0" shapeId="0" xr:uid="{00000000-0006-0000-0100-000002000000}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Supongo que las fechas son un ejemplo?</t>
        </r>
      </text>
    </comment>
    <comment ref="K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Angelica Maria Lopez:</t>
        </r>
        <r>
          <rPr>
            <sz val="9"/>
            <color indexed="81"/>
            <rFont val="Tahoma"/>
            <family val="2"/>
          </rPr>
          <t xml:space="preserve">
Como seran medidos los imprevistos para la medición de este tiempo, ejemplo lluvia, horas pico etc</t>
        </r>
      </text>
    </comment>
  </commentList>
</comments>
</file>

<file path=xl/sharedStrings.xml><?xml version="1.0" encoding="utf-8"?>
<sst xmlns="http://schemas.openxmlformats.org/spreadsheetml/2006/main" count="248" uniqueCount="71">
  <si>
    <t>ELEMENTOS REPORTADOS FUERA DE SERVICIO</t>
  </si>
  <si>
    <t>FECHA APERTURA CASO EN MESA DE AYUDA</t>
  </si>
  <si>
    <t>FECHA DE CIERRE MESA DE AYUDA</t>
  </si>
  <si>
    <t xml:space="preserve">Video Wall </t>
  </si>
  <si>
    <t>OPORTUNIDAD</t>
  </si>
  <si>
    <t>DIAGNÓSTICO REMOTO (HORAS)</t>
  </si>
  <si>
    <t>LLEGADA A SITIO (HORAS)</t>
  </si>
  <si>
    <t>DIAGNÓSTICO EN SITIO (HORAS)</t>
  </si>
  <si>
    <t>SOLUCIÓN (HORAS)</t>
  </si>
  <si>
    <t>Comunas: 11, 3, 5, 80, 60, 7, 6, 2</t>
  </si>
  <si>
    <t>Comunas: 50, 90, 1, 12, 4, 8, 9</t>
  </si>
  <si>
    <t>ITEM</t>
  </si>
  <si>
    <t>COMUNAS</t>
  </si>
  <si>
    <t>COMPONENTE</t>
  </si>
  <si>
    <t>CCTV Ciudadano</t>
  </si>
  <si>
    <t>Estaciones Base</t>
  </si>
  <si>
    <t>Centros de Monitoreo</t>
  </si>
  <si>
    <t>Servidores</t>
  </si>
  <si>
    <t xml:space="preserve">Cámaras Comunas: 70, 15, 14, 16, 10, y 13. </t>
  </si>
  <si>
    <t>98%≤Dmes≤100%</t>
  </si>
  <si>
    <t>85%≤Dmes&lt;95%</t>
  </si>
  <si>
    <t>Dmes&lt;85%</t>
  </si>
  <si>
    <t>D.O. 1</t>
  </si>
  <si>
    <t>D.O. 2</t>
  </si>
  <si>
    <t>D.O. 3</t>
  </si>
  <si>
    <t>D.O. 4</t>
  </si>
  <si>
    <t xml:space="preserve">TOTAL DE ELEMENTOS </t>
  </si>
  <si>
    <t>ANS Y CÁLCULO DE LOS KPI DE DISPONIBILIDAD Y DESCUENTO OPERATIVO ( D.O.)</t>
  </si>
  <si>
    <t>95%≤Dmes&lt;98%</t>
  </si>
  <si>
    <t xml:space="preserve">ANS Y CÁLCULO DE LOS KPI DE OPORTUNIDAD Y DESCUENTO OPERATIVO ( D.O.) </t>
  </si>
  <si>
    <t>TIEMPO TOTAL (HORAS) PACTADO</t>
  </si>
  <si>
    <t>Sistema almacenamiento</t>
  </si>
  <si>
    <t>DESCUENTO OPERATIVO</t>
  </si>
  <si>
    <t>TIEMPO DE SOLUCIÓN</t>
  </si>
  <si>
    <t>KPI DE DISPONIBILIDAD ( KPId)</t>
  </si>
  <si>
    <t>KPI DE OPORTUNIDAD ( KPIo)</t>
  </si>
  <si>
    <t>DISPONIBILIDAD</t>
  </si>
  <si>
    <t xml:space="preserve">ANS Y CÁLCULO DE LOS KPI DE DISPONIBILIDAD Y DESCUENTO OPERATIVO ( D.O.) PARA LOS DIFERENTES COMPONENTES DEL CONTRATO DE MANTENIMIENTO BUSINESS PLAZA </t>
  </si>
  <si>
    <t>ANEXO TÉCNICO</t>
  </si>
  <si>
    <t>DESCRIPCIÓN COMPONENTE</t>
  </si>
  <si>
    <t>SUBCOMPONENTE</t>
  </si>
  <si>
    <t>CLASIFICACIÓN DEL SISTEMA</t>
  </si>
  <si>
    <t>CANTIDAD ELEMENTOS</t>
  </si>
  <si>
    <t>TOTAL ELEMENTOS</t>
  </si>
  <si>
    <t>DISPONIBILIDAD ACORDADA CONTRATO &gt;= 98%</t>
  </si>
  <si>
    <t>Aire acondicionado de Precisión</t>
  </si>
  <si>
    <t>Unidad manejadora de aire acondicionado</t>
  </si>
  <si>
    <t>Crítico</t>
  </si>
  <si>
    <t>&gt;=98%</t>
  </si>
  <si>
    <t xml:space="preserve">Chillers </t>
  </si>
  <si>
    <t xml:space="preserve">Bombas </t>
  </si>
  <si>
    <t xml:space="preserve">Variador </t>
  </si>
  <si>
    <t>Controlador</t>
  </si>
  <si>
    <t xml:space="preserve">Servidor  Monitoreo </t>
  </si>
  <si>
    <t>Sensores( Leak Rope Sensor, Rack Sensor, Temperature Sensor &amp; Humidity</t>
  </si>
  <si>
    <t>Monitor para rack</t>
  </si>
  <si>
    <t>Ethernet Switch</t>
  </si>
  <si>
    <t>StruxureWare Data Center Expert Basic</t>
  </si>
  <si>
    <t>Homelynk</t>
  </si>
  <si>
    <t>Sistema de energía y equipos especiales</t>
  </si>
  <si>
    <t xml:space="preserve"> UPS de 45KVA  </t>
  </si>
  <si>
    <t xml:space="preserve">  UPS 60KVA</t>
  </si>
  <si>
    <t xml:space="preserve"> 1 UPS DE 2 KVA</t>
  </si>
  <si>
    <t xml:space="preserve">Tableros de Transferencia </t>
  </si>
  <si>
    <t xml:space="preserve"> Tableros eléctricos </t>
  </si>
  <si>
    <t>Fases de carga</t>
  </si>
  <si>
    <t>Planta eléctrica DIESEL</t>
  </si>
  <si>
    <t>Banco de baterías</t>
  </si>
  <si>
    <t>ANS Y CÁLCULO DE LOS KPI DE OPORTUNIDAD PARA LOS DIFERENTES COMPONENTES DEL CONTRATO DE MANTENIMIENTO BUSINESS PLAZA Y DESCUENTO OPERATIVO (D.O.)</t>
  </si>
  <si>
    <t>ANEXO
TÉCNICO</t>
  </si>
  <si>
    <t>TIEMPO PACTADO CONTRATO SISTEMA CRÍTICO t &lt;= 2h , SISTEMA NO CRÍTICO t &lt;= 12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</si>
</sst>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6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22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9" fontId="4" fillId="3" borderId="1" xfId="1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9" fontId="0" fillId="0" borderId="2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22" fontId="4" fillId="3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2" xfId="1" applyNumberFormat="1" applyFont="1" applyBorder="1" applyAlignment="1">
      <alignment horizont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9" fontId="2" fillId="2" borderId="2" xfId="1" applyNumberFormat="1" applyFont="1" applyFill="1" applyBorder="1" applyAlignment="1">
      <alignment horizontal="center"/>
    </xf>
    <xf numFmtId="9" fontId="0" fillId="2" borderId="2" xfId="1" applyNumberFormat="1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9" fontId="2" fillId="0" borderId="6" xfId="1" applyNumberFormat="1" applyFont="1" applyBorder="1" applyAlignment="1">
      <alignment horizontal="center"/>
    </xf>
    <xf numFmtId="9" fontId="0" fillId="0" borderId="9" xfId="1" applyNumberFormat="1" applyFont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0" borderId="4" xfId="0" applyFont="1" applyBorder="1"/>
    <xf numFmtId="0" fontId="2" fillId="0" borderId="8" xfId="0" applyFont="1" applyBorder="1"/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22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center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5" fillId="3" borderId="5" xfId="0" applyFont="1" applyFill="1" applyBorder="1" applyAlignment="1">
      <alignment vertical="center"/>
    </xf>
    <xf numFmtId="22" fontId="0" fillId="0" borderId="0" xfId="0" applyNumberFormat="1" applyFill="1" applyBorder="1"/>
    <xf numFmtId="0" fontId="5" fillId="3" borderId="0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0" fillId="0" borderId="0" xfId="1" applyFont="1"/>
    <xf numFmtId="9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4" fillId="0" borderId="0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9" fontId="0" fillId="0" borderId="0" xfId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9" fontId="4" fillId="3" borderId="5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9" fontId="10" fillId="0" borderId="2" xfId="1" applyFon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2" fillId="0" borderId="0" xfId="0" applyNumberFormat="1" applyFont="1" applyAlignment="1">
      <alignment horizontal="center" vertical="center" wrapText="1"/>
    </xf>
    <xf numFmtId="22" fontId="10" fillId="0" borderId="2" xfId="0" applyNumberFormat="1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/>
    </xf>
    <xf numFmtId="9" fontId="0" fillId="0" borderId="0" xfId="1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a10" displayName="Tabla10" ref="A7:G15" totalsRowShown="0" headerRowDxfId="39" tableBorderDxfId="38">
  <autoFilter ref="A7:G15" xr:uid="{00000000-0009-0000-0100-00000A000000}"/>
  <tableColumns count="7">
    <tableColumn id="1" xr3:uid="{00000000-0010-0000-0000-000001000000}" name="ITEM" dataDxfId="37"/>
    <tableColumn id="2" xr3:uid="{00000000-0010-0000-0000-000002000000}" name="COMPONENTE" dataDxfId="36"/>
    <tableColumn id="3" xr3:uid="{00000000-0010-0000-0000-000003000000}" name="COMUNAS" dataDxfId="35"/>
    <tableColumn id="4" xr3:uid="{00000000-0010-0000-0000-000004000000}" name="TOTAL DE ELEMENTOS " dataDxfId="34"/>
    <tableColumn id="5" xr3:uid="{00000000-0010-0000-0000-000005000000}" name="ELEMENTOS REPORTADOS FUERA DE SERVICIO" dataDxfId="33"/>
    <tableColumn id="6" xr3:uid="{00000000-0010-0000-0000-000006000000}" name="KPI DE DISPONIBILIDAD ( KPId)" dataDxfId="32" dataCellStyle="Porcentaje">
      <calculatedColumnFormula>(D8-E8)/D8</calculatedColumnFormula>
    </tableColumn>
    <tableColumn id="7" xr3:uid="{00000000-0010-0000-0000-000007000000}" name="DESCUENTO OPERATIVO" dataDxfId="31" dataCellStyle="Porcentaje">
      <calculatedColumnFormula>_xlfn.IFS('Disp. CCTV'!$F8&gt;=98%,0%,AND('Disp. CCTV'!$F8&gt;=85%,'Disp. CCTV'!$F8&lt;98%),2%,AND('Disp. CCTV'!$F8&gt;=85%,'Disp. CCTV'!$F8&lt;95%),3%,'Disp. CCTV'!$F8&lt;85%,5%)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la11" displayName="Tabla11" ref="A8:M16" totalsRowShown="0" dataDxfId="30" tableBorderDxfId="29">
  <autoFilter ref="A8:M16" xr:uid="{00000000-0009-0000-0100-00000B000000}"/>
  <tableColumns count="13">
    <tableColumn id="1" xr3:uid="{00000000-0010-0000-0100-000001000000}" name="ITEM" dataDxfId="28"/>
    <tableColumn id="2" xr3:uid="{00000000-0010-0000-0100-000002000000}" name="COMPONENTE" dataDxfId="27"/>
    <tableColumn id="3" xr3:uid="{00000000-0010-0000-0100-000003000000}" name="COMUNAS" dataDxfId="26"/>
    <tableColumn id="4" xr3:uid="{00000000-0010-0000-0100-000004000000}" name="DIAGNÓSTICO REMOTO (HORAS)" dataDxfId="25"/>
    <tableColumn id="5" xr3:uid="{00000000-0010-0000-0100-000005000000}" name="LLEGADA A SITIO (HORAS)" dataDxfId="24"/>
    <tableColumn id="6" xr3:uid="{00000000-0010-0000-0100-000006000000}" name="DIAGNÓSTICO EN SITIO (HORAS)" dataDxfId="23"/>
    <tableColumn id="7" xr3:uid="{00000000-0010-0000-0100-000007000000}" name="SOLUCIÓN (HORAS)" dataDxfId="22"/>
    <tableColumn id="8" xr3:uid="{00000000-0010-0000-0100-000008000000}" name="TIEMPO TOTAL (HORAS) PACTADO" dataDxfId="21">
      <calculatedColumnFormula>SUM(Tabla11[[#This Row],[DIAGNÓSTICO REMOTO (HORAS)]:[SOLUCIÓN (HORAS)]])</calculatedColumnFormula>
    </tableColumn>
    <tableColumn id="9" xr3:uid="{00000000-0010-0000-0100-000009000000}" name="FECHA APERTURA CASO EN MESA DE AYUDA" dataDxfId="20"/>
    <tableColumn id="10" xr3:uid="{00000000-0010-0000-0100-00000A000000}" name="FECHA DE CIERRE MESA DE AYUDA" dataDxfId="19"/>
    <tableColumn id="11" xr3:uid="{00000000-0010-0000-0100-00000B000000}" name="TIEMPO DE SOLUCIÓN" dataDxfId="18">
      <calculatedColumnFormula>'Oportunidad CCTV'!$J9-'Oportunidad CCTV'!$I9</calculatedColumnFormula>
    </tableColumn>
    <tableColumn id="12" xr3:uid="{00000000-0010-0000-0100-00000C000000}" name="KPI DE OPORTUNIDAD ( KPIo)" dataDxfId="17" dataCellStyle="Porcentaje">
      <calculatedColumnFormula>(H9-K9)/H9</calculatedColumnFormula>
    </tableColumn>
    <tableColumn id="13" xr3:uid="{00000000-0010-0000-0100-00000D000000}" name="DESCUENTO OPERATIVO" dataDxfId="16" dataCellStyle="Porcentaje">
      <calculatedColumnFormula>_xlfn.IFS('Oportunidad CCTV'!$L9&gt;=98%,0%,AND('Oportunidad CCTV'!$L9&gt;=95%,'Oportunidad CCTV'!$L9&lt;98%),2%,AND('Oportunidad CCTV'!$L9&gt;=85%,'Oportunidad CCTV'!$L9&lt;95%),3%,'Oportunidad CCTV'!$L9&lt;85%,5%)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EBF47D-D27A-427D-97FF-AA28CD64B18A}" name="Tabla9" displayName="Tabla9" ref="A7:M26" totalsRowShown="0" headerRowDxfId="15" dataDxfId="14" tableBorderDxfId="13">
  <autoFilter ref="A7:M26" xr:uid="{00000000-0009-0000-0100-000009000000}"/>
  <tableColumns count="13">
    <tableColumn id="1" xr3:uid="{44788DE2-6E50-4857-B461-3086FB81DC33}" name="ANEXO_x000a_TÉCNICO" dataDxfId="12"/>
    <tableColumn id="2" xr3:uid="{B6FB3E01-EEB8-4260-81D8-FACC1C655D0E}" name="DESCRIPCIÓN COMPONENTE" dataDxfId="0"/>
    <tableColumn id="3" xr3:uid="{4531EA0A-7E95-4C1E-9AB1-7687E00EF40C}" name="SUBCOMPONENTE" dataDxfId="11"/>
    <tableColumn id="4" xr3:uid="{C56ADCDA-DF7D-47B6-8BE6-E51A0BB6B410}" name="CLASIFICACIÓN DEL SISTEMA" dataDxfId="10"/>
    <tableColumn id="5" xr3:uid="{5D746C5A-6CFD-40FD-B30B-9E64A75F19EB}" name="CANTIDAD ELEMENTOS" dataDxfId="9"/>
    <tableColumn id="6" xr3:uid="{14D49D67-0873-4FF5-9FFF-CACDE76C5A4E}" name="TOTAL ELEMENTOS" dataDxfId="8">
      <calculatedColumnFormula>E8</calculatedColumnFormula>
    </tableColumn>
    <tableColumn id="7" xr3:uid="{366C852E-DEAD-4D7E-ADE1-1C13B9B7DCA0}" name="ELEMENTOS REPORTADOS FUERA DE SERVICIO" dataDxfId="7"/>
    <tableColumn id="8" xr3:uid="{814619B8-0911-4A17-A6EF-FF50E18F425D}" name="FECHA APERTURA CASO EN MESA DE AYUDA" dataDxfId="6"/>
    <tableColumn id="9" xr3:uid="{527CD163-B2FF-426B-8B47-1DFD0DB3B892}" name="FECHA DE CIERRE MESA DE AYUDA" dataDxfId="5"/>
    <tableColumn id="10" xr3:uid="{9E18FCB0-0E1C-4C19-8C75-A800E1D724EA}" name="TIEMPO DE SOLUCIÓN" dataDxfId="4" dataCellStyle="Porcentaje">
      <calculatedColumnFormula>INT(HOUR(Tabla9[[#This Row],[FECHA DE CIERRE MESA DE AYUDA]]-Tabla9[[#This Row],[FECHA APERTURA CASO EN MESA DE AYUDA]]))</calculatedColumnFormula>
    </tableColumn>
    <tableColumn id="11" xr3:uid="{58CF1B03-24E1-44DE-A5B7-8270B04559FF}" name="TIEMPO PACTADO CONTRATO SISTEMA CRÍTICO t &lt;= 2h , SISTEMA NO CRÍTICO t &lt;= 12 h" dataDxfId="3">
      <calculatedColumnFormula>IF(Tabla9[[#This Row],[CLASIFICACIÓN DEL SISTEMA]]="Crítico",2,12)</calculatedColumnFormula>
    </tableColumn>
    <tableColumn id="12" xr3:uid="{3EE20C4D-D3CD-475D-957C-A0C887AA7CF4}" name="KPI DE OPORTUNIDAD ( KPIo)" dataDxfId="2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1235AC29-6698-4AD6-8473-68E8E5C2D8C9}" name="DESCUENTO OPERATIVO" dataDxfId="1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zoomScale="90" zoomScaleNormal="90" workbookViewId="0">
      <selection sqref="A1:K1"/>
    </sheetView>
  </sheetViews>
  <sheetFormatPr baseColWidth="10" defaultColWidth="10.875" defaultRowHeight="15.75" x14ac:dyDescent="0.25"/>
  <cols>
    <col min="1" max="1" width="14.875" style="2" customWidth="1"/>
    <col min="2" max="2" width="15" style="2" customWidth="1"/>
    <col min="3" max="3" width="18.125" style="2" customWidth="1"/>
    <col min="4" max="4" width="17.625" style="2" customWidth="1"/>
    <col min="5" max="5" width="19.625" style="2" customWidth="1"/>
    <col min="6" max="6" width="20.125" style="2" customWidth="1"/>
    <col min="7" max="7" width="22.375" style="2" customWidth="1"/>
    <col min="8" max="8" width="13.875" style="2" customWidth="1"/>
    <col min="9" max="9" width="14" style="2" customWidth="1"/>
    <col min="10" max="16384" width="10.875" style="2"/>
  </cols>
  <sheetData>
    <row r="1" spans="1:11" x14ac:dyDescent="0.25">
      <c r="A1" s="53" t="s">
        <v>36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5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x14ac:dyDescent="0.25">
      <c r="C4" s="5"/>
      <c r="D4" s="5"/>
      <c r="E4" s="5"/>
      <c r="F4" s="5"/>
      <c r="G4" s="5"/>
      <c r="H4" s="6" t="s">
        <v>22</v>
      </c>
      <c r="I4" s="6" t="s">
        <v>23</v>
      </c>
      <c r="J4" s="6" t="s">
        <v>24</v>
      </c>
      <c r="K4" s="6" t="s">
        <v>25</v>
      </c>
    </row>
    <row r="5" spans="1:11" ht="25.5" x14ac:dyDescent="0.25">
      <c r="C5" s="5"/>
      <c r="D5" s="5"/>
      <c r="E5" s="5"/>
      <c r="F5" s="5"/>
      <c r="G5" s="5"/>
      <c r="H5" s="19" t="s">
        <v>19</v>
      </c>
      <c r="I5" s="19" t="s">
        <v>28</v>
      </c>
      <c r="J5" s="19" t="s">
        <v>20</v>
      </c>
      <c r="K5" s="19" t="s">
        <v>21</v>
      </c>
    </row>
    <row r="6" spans="1:11" x14ac:dyDescent="0.25">
      <c r="C6" s="5"/>
      <c r="D6" s="5"/>
      <c r="E6" s="5"/>
      <c r="F6" s="5"/>
      <c r="G6" s="5"/>
      <c r="H6" s="20">
        <v>0</v>
      </c>
      <c r="I6" s="20">
        <v>0.02</v>
      </c>
      <c r="J6" s="20">
        <v>0.03</v>
      </c>
      <c r="K6" s="20">
        <v>0.05</v>
      </c>
    </row>
    <row r="7" spans="1:11" ht="38.25" x14ac:dyDescent="0.25">
      <c r="A7" s="40" t="s">
        <v>11</v>
      </c>
      <c r="B7" s="41" t="s">
        <v>13</v>
      </c>
      <c r="C7" s="10" t="s">
        <v>12</v>
      </c>
      <c r="D7" s="10" t="s">
        <v>26</v>
      </c>
      <c r="E7" s="11" t="s">
        <v>0</v>
      </c>
      <c r="F7" s="36" t="s">
        <v>34</v>
      </c>
      <c r="G7" s="11" t="s">
        <v>32</v>
      </c>
      <c r="H7" s="44"/>
      <c r="I7" s="44"/>
      <c r="J7" s="44"/>
      <c r="K7" s="44"/>
    </row>
    <row r="8" spans="1:11" ht="36.950000000000003" customHeight="1" x14ac:dyDescent="0.25">
      <c r="A8" s="37">
        <v>4</v>
      </c>
      <c r="B8" s="22" t="s">
        <v>14</v>
      </c>
      <c r="C8" s="23" t="s">
        <v>18</v>
      </c>
      <c r="D8" s="24">
        <v>903</v>
      </c>
      <c r="E8" s="25">
        <v>23</v>
      </c>
      <c r="F8" s="26">
        <f>(D8-E8)/D8</f>
        <v>0.9745293466223699</v>
      </c>
      <c r="G8" s="27">
        <f>_xlfn.IFS('Disp. CCTV'!$F8&gt;=98%,0%,AND('Disp. CCTV'!$F8&gt;=95%,'Disp. CCTV'!$F8&lt;98%),2%,AND('Disp. CCTV'!$F8&gt;=85%,'Disp. CCTV'!$F8&lt;95%),3%,'Disp. CCTV'!$F8&lt;85%,5%)</f>
        <v>0.02</v>
      </c>
      <c r="H8" s="45"/>
      <c r="I8" s="8"/>
      <c r="J8" s="8"/>
      <c r="K8" s="8"/>
    </row>
    <row r="9" spans="1:11" x14ac:dyDescent="0.25">
      <c r="A9" s="38">
        <v>4</v>
      </c>
      <c r="B9" s="28" t="s">
        <v>14</v>
      </c>
      <c r="C9" s="29" t="s">
        <v>15</v>
      </c>
      <c r="D9" s="12">
        <v>15</v>
      </c>
      <c r="E9" s="30">
        <v>11</v>
      </c>
      <c r="F9" s="21">
        <f t="shared" ref="F9:F13" si="0">(D9-E9)/D9</f>
        <v>0.26666666666666666</v>
      </c>
      <c r="G9" s="15">
        <f>_xlfn.IFS('Disp. CCTV'!$F9&gt;=98%,0%,AND('Disp. CCTV'!$F9&gt;=85%,'Disp. CCTV'!$F9&lt;98%),2%,AND('Disp. CCTV'!$F9&gt;=85%,'Disp. CCTV'!$F9&lt;95%),3%,'Disp. CCTV'!$F9&lt;85%,5%)</f>
        <v>0.05</v>
      </c>
      <c r="H9" s="45"/>
      <c r="I9" s="8"/>
      <c r="J9" s="8"/>
      <c r="K9" s="8"/>
    </row>
    <row r="10" spans="1:11" x14ac:dyDescent="0.25">
      <c r="A10" s="37">
        <v>4</v>
      </c>
      <c r="B10" s="22" t="s">
        <v>14</v>
      </c>
      <c r="C10" s="23" t="s">
        <v>16</v>
      </c>
      <c r="D10" s="24">
        <v>17</v>
      </c>
      <c r="E10" s="25">
        <v>2</v>
      </c>
      <c r="F10" s="26">
        <f t="shared" si="0"/>
        <v>0.88235294117647056</v>
      </c>
      <c r="G10" s="27">
        <f>_xlfn.IFS('Disp. CCTV'!$F10&gt;=98%,0%,AND('Disp. CCTV'!$F10&gt;=85%,'Disp. CCTV'!$F10&lt;98%),2%,AND('Disp. CCTV'!$F10&gt;=85%,'Disp. CCTV'!$F10&lt;95%),3%,'Disp. CCTV'!$F10&lt;85%,5%)</f>
        <v>0.02</v>
      </c>
      <c r="H10" s="45"/>
      <c r="I10" s="8"/>
      <c r="J10" s="8"/>
      <c r="K10" s="8"/>
    </row>
    <row r="11" spans="1:11" x14ac:dyDescent="0.25">
      <c r="A11" s="38">
        <v>4</v>
      </c>
      <c r="B11" s="28" t="s">
        <v>14</v>
      </c>
      <c r="C11" s="29" t="s">
        <v>17</v>
      </c>
      <c r="D11" s="12">
        <v>68</v>
      </c>
      <c r="E11" s="30">
        <v>4</v>
      </c>
      <c r="F11" s="21">
        <f t="shared" si="0"/>
        <v>0.94117647058823528</v>
      </c>
      <c r="G11" s="15">
        <f>_xlfn.IFS('Disp. CCTV'!$F11&gt;=98%,0%,AND('Disp. CCTV'!$F11&gt;=85%,'Disp. CCTV'!$F11&lt;98%),2%,AND('Disp. CCTV'!$F11&gt;=85%,'Disp. CCTV'!$F11&lt;95%),3%,'Disp. CCTV'!$F11&lt;85%,5%)</f>
        <v>0.02</v>
      </c>
      <c r="H11" s="45"/>
      <c r="I11" s="8"/>
      <c r="J11" s="8"/>
      <c r="K11" s="8"/>
    </row>
    <row r="12" spans="1:11" ht="27" customHeight="1" x14ac:dyDescent="0.25">
      <c r="A12" s="37">
        <v>4</v>
      </c>
      <c r="B12" s="22" t="s">
        <v>14</v>
      </c>
      <c r="C12" s="23" t="s">
        <v>9</v>
      </c>
      <c r="D12" s="24">
        <v>717</v>
      </c>
      <c r="E12" s="25">
        <v>21</v>
      </c>
      <c r="F12" s="26">
        <f t="shared" si="0"/>
        <v>0.97071129707112969</v>
      </c>
      <c r="G12" s="27">
        <f>_xlfn.IFS('Disp. CCTV'!$F12&gt;=98%,0%,AND('Disp. CCTV'!$F12&gt;=85%,'Disp. CCTV'!$F12&lt;98%),2%,AND('Disp. CCTV'!$F12&gt;=85%,'Disp. CCTV'!$F12&lt;95%),3%,'Disp. CCTV'!$F12&lt;85%,5%)</f>
        <v>0.02</v>
      </c>
      <c r="H12" s="45"/>
      <c r="I12" s="8"/>
      <c r="J12" s="8"/>
      <c r="K12" s="8"/>
    </row>
    <row r="13" spans="1:11" ht="41.1" customHeight="1" x14ac:dyDescent="0.25">
      <c r="A13" s="38">
        <v>4</v>
      </c>
      <c r="B13" s="28" t="s">
        <v>14</v>
      </c>
      <c r="C13" s="29" t="s">
        <v>10</v>
      </c>
      <c r="D13" s="12">
        <v>287</v>
      </c>
      <c r="E13" s="30">
        <v>25</v>
      </c>
      <c r="F13" s="21">
        <f t="shared" si="0"/>
        <v>0.91289198606271782</v>
      </c>
      <c r="G13" s="15">
        <f>_xlfn.IFS('Disp. CCTV'!$F13&gt;=98%,0%,AND('Disp. CCTV'!$F13&gt;=85%,'Disp. CCTV'!$F13&lt;98%),2%,AND('Disp. CCTV'!$F13&gt;=85%,'Disp. CCTV'!$F13&lt;95%),3%,'Disp. CCTV'!$F13&lt;85%,5%)</f>
        <v>0.02</v>
      </c>
      <c r="H13" s="45"/>
      <c r="I13" s="8"/>
      <c r="J13" s="8"/>
      <c r="K13" s="8"/>
    </row>
    <row r="14" spans="1:11" x14ac:dyDescent="0.25">
      <c r="A14" s="37">
        <v>5</v>
      </c>
      <c r="B14" s="22" t="s">
        <v>14</v>
      </c>
      <c r="C14" s="23" t="s">
        <v>3</v>
      </c>
      <c r="D14" s="24">
        <v>3</v>
      </c>
      <c r="E14" s="25">
        <v>1</v>
      </c>
      <c r="F14" s="26">
        <f t="shared" ref="F14:F15" si="1">(D14-E14)/D14</f>
        <v>0.66666666666666663</v>
      </c>
      <c r="G14" s="27">
        <f>_xlfn.IFS('Disp. CCTV'!$F14&gt;=98%,0%,AND('Disp. CCTV'!$F14&gt;=85%,'Disp. CCTV'!$F14&lt;98%),2%,AND('Disp. CCTV'!$F14&gt;=85%,'Disp. CCTV'!$F14&lt;95%),3%,'Disp. CCTV'!$F14&lt;85%,5%)</f>
        <v>0.05</v>
      </c>
      <c r="H14" s="45"/>
      <c r="I14" s="8"/>
      <c r="J14" s="8"/>
      <c r="K14" s="8"/>
    </row>
    <row r="15" spans="1:11" ht="25.5" x14ac:dyDescent="0.25">
      <c r="A15" s="39">
        <v>6</v>
      </c>
      <c r="B15" s="31" t="s">
        <v>14</v>
      </c>
      <c r="C15" s="32" t="s">
        <v>31</v>
      </c>
      <c r="D15" s="16">
        <v>1</v>
      </c>
      <c r="E15" s="33">
        <v>0</v>
      </c>
      <c r="F15" s="34">
        <f t="shared" si="1"/>
        <v>1</v>
      </c>
      <c r="G15" s="35">
        <f>_xlfn.IFS('Disp. CCTV'!$F15&gt;=98%,0%,AND('Disp. CCTV'!$F15&gt;=85%,'Disp. CCTV'!$F15&lt;98%),2%,AND('Disp. CCTV'!$F15&gt;=85%,'Disp. CCTV'!$F15&lt;95%),3%,'Disp. CCTV'!$F15&lt;85%,5%)</f>
        <v>0</v>
      </c>
      <c r="H15" s="45"/>
      <c r="I15" s="8"/>
      <c r="J15" s="8"/>
      <c r="K15" s="8"/>
    </row>
    <row r="17" spans="5:7" x14ac:dyDescent="0.25">
      <c r="E17" s="3"/>
      <c r="F17" s="3"/>
      <c r="G17" s="3"/>
    </row>
    <row r="18" spans="5:7" x14ac:dyDescent="0.25">
      <c r="E18" s="3"/>
    </row>
  </sheetData>
  <dataConsolidate/>
  <mergeCells count="3">
    <mergeCell ref="A1:K1"/>
    <mergeCell ref="A2:K2"/>
    <mergeCell ref="A3:K3"/>
  </mergeCell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1"/>
  <sheetViews>
    <sheetView tabSelected="1" topLeftCell="D1" zoomScale="85" zoomScaleNormal="85" workbookViewId="0">
      <selection activeCell="K16" sqref="K16"/>
    </sheetView>
  </sheetViews>
  <sheetFormatPr baseColWidth="10" defaultColWidth="19.875" defaultRowHeight="15.75" x14ac:dyDescent="0.25"/>
  <cols>
    <col min="4" max="4" width="14.375" customWidth="1"/>
    <col min="5" max="5" width="13.625" customWidth="1"/>
    <col min="6" max="6" width="14.375" customWidth="1"/>
    <col min="7" max="7" width="12.375" customWidth="1"/>
    <col min="8" max="8" width="14.875" customWidth="1"/>
    <col min="9" max="9" width="17.875" style="1" customWidth="1"/>
    <col min="10" max="10" width="17.625" customWidth="1"/>
    <col min="11" max="11" width="16" customWidth="1"/>
    <col min="12" max="13" width="16.625" customWidth="1"/>
  </cols>
  <sheetData>
    <row r="1" spans="1:17" x14ac:dyDescent="0.25">
      <c r="A1" s="54" t="s">
        <v>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x14ac:dyDescent="0.25">
      <c r="A2" s="54" t="s">
        <v>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x14ac:dyDescent="0.25">
      <c r="A4" s="46"/>
      <c r="B4" s="46"/>
      <c r="I4" s="48"/>
      <c r="J4" s="46"/>
      <c r="K4" s="46"/>
      <c r="L4" s="46"/>
      <c r="M4" s="46"/>
      <c r="N4" s="46"/>
      <c r="O4" s="46"/>
      <c r="P4" s="46"/>
      <c r="Q4" s="46"/>
    </row>
    <row r="5" spans="1:17" x14ac:dyDescent="0.25">
      <c r="A5" s="46"/>
      <c r="B5" s="46"/>
      <c r="I5" s="48"/>
      <c r="J5" s="46"/>
      <c r="K5" s="46"/>
      <c r="L5" s="46"/>
      <c r="M5" s="46"/>
      <c r="N5" s="6" t="s">
        <v>22</v>
      </c>
      <c r="O5" s="6" t="s">
        <v>23</v>
      </c>
      <c r="P5" s="6" t="s">
        <v>24</v>
      </c>
      <c r="Q5" s="6" t="s">
        <v>25</v>
      </c>
    </row>
    <row r="6" spans="1:17" x14ac:dyDescent="0.25">
      <c r="A6" s="46"/>
      <c r="B6" s="46"/>
      <c r="I6" s="48"/>
      <c r="J6" s="46"/>
      <c r="K6" s="46"/>
      <c r="L6" s="46"/>
      <c r="M6" s="46"/>
      <c r="N6" s="19" t="s">
        <v>19</v>
      </c>
      <c r="O6" s="19" t="s">
        <v>28</v>
      </c>
      <c r="P6" s="19" t="s">
        <v>20</v>
      </c>
      <c r="Q6" s="19" t="s">
        <v>21</v>
      </c>
    </row>
    <row r="7" spans="1:17" x14ac:dyDescent="0.25">
      <c r="A7" s="46"/>
      <c r="B7" s="46"/>
      <c r="C7" s="5"/>
      <c r="D7" s="5"/>
      <c r="E7" s="5"/>
      <c r="F7" s="5"/>
      <c r="G7" s="5"/>
      <c r="H7" s="5"/>
      <c r="I7" s="48"/>
      <c r="J7" s="46"/>
      <c r="K7" s="46"/>
      <c r="L7" s="46"/>
      <c r="M7" s="46"/>
      <c r="N7" s="20">
        <v>0</v>
      </c>
      <c r="O7" s="20">
        <v>0.02</v>
      </c>
      <c r="P7" s="20">
        <v>0.03</v>
      </c>
      <c r="Q7" s="20">
        <v>0.05</v>
      </c>
    </row>
    <row r="8" spans="1:17" ht="38.25" x14ac:dyDescent="0.25">
      <c r="A8" s="49" t="s">
        <v>11</v>
      </c>
      <c r="B8" s="47" t="s">
        <v>13</v>
      </c>
      <c r="C8" s="17" t="s">
        <v>12</v>
      </c>
      <c r="D8" s="17" t="s">
        <v>5</v>
      </c>
      <c r="E8" s="17" t="s">
        <v>6</v>
      </c>
      <c r="F8" s="17" t="s">
        <v>7</v>
      </c>
      <c r="G8" s="17" t="s">
        <v>8</v>
      </c>
      <c r="H8" s="17" t="s">
        <v>30</v>
      </c>
      <c r="I8" s="18" t="s">
        <v>1</v>
      </c>
      <c r="J8" s="18" t="s">
        <v>2</v>
      </c>
      <c r="K8" s="9" t="s">
        <v>33</v>
      </c>
      <c r="L8" s="17" t="s">
        <v>35</v>
      </c>
      <c r="M8" s="17" t="s">
        <v>32</v>
      </c>
      <c r="N8" s="7"/>
      <c r="O8" s="7"/>
      <c r="P8" s="7"/>
      <c r="Q8" s="7"/>
    </row>
    <row r="9" spans="1:17" ht="25.5" x14ac:dyDescent="0.25">
      <c r="A9" s="50">
        <v>4</v>
      </c>
      <c r="B9" s="25" t="s">
        <v>14</v>
      </c>
      <c r="C9" s="24" t="s">
        <v>18</v>
      </c>
      <c r="D9" s="24">
        <v>1</v>
      </c>
      <c r="E9" s="24">
        <f>AVERAGE(2,4,6)</f>
        <v>4</v>
      </c>
      <c r="F9" s="52">
        <f>AVERAGE(2,2,1)</f>
        <v>1.6666666666666667</v>
      </c>
      <c r="G9" s="52">
        <v>2</v>
      </c>
      <c r="H9" s="52">
        <f>SUM(Tabla11[[#This Row],[DIAGNÓSTICO REMOTO (HORAS)]:[SOLUCIÓN (HORAS)]])</f>
        <v>8.6666666666666679</v>
      </c>
      <c r="I9" s="42">
        <v>43914.333333333336</v>
      </c>
      <c r="J9" s="42">
        <v>43914.416666666664</v>
      </c>
      <c r="K9" s="43">
        <v>2</v>
      </c>
      <c r="L9" s="27">
        <f>(H9-K9)/H9</f>
        <v>0.76923076923076927</v>
      </c>
      <c r="M9" s="27">
        <f>_xlfn.IFS('Oportunidad CCTV'!$L9&gt;=98%,0%,AND('Oportunidad CCTV'!$L9&gt;=95%,'Oportunidad CCTV'!$L9&lt;98%),2%,AND('Oportunidad CCTV'!$L9&gt;=85%,'Oportunidad CCTV'!$L9&lt;95%),3%,'Oportunidad CCTV'!$L9&lt;85%,5%)</f>
        <v>0.05</v>
      </c>
      <c r="N9" s="45"/>
      <c r="O9" s="7"/>
      <c r="P9" s="7"/>
      <c r="Q9" s="7"/>
    </row>
    <row r="10" spans="1:17" x14ac:dyDescent="0.25">
      <c r="A10" s="51">
        <v>4</v>
      </c>
      <c r="B10" s="30" t="s">
        <v>14</v>
      </c>
      <c r="C10" s="12" t="s">
        <v>15</v>
      </c>
      <c r="D10" s="12">
        <v>1</v>
      </c>
      <c r="E10" s="24">
        <f>AVERAGE(2,4,6)</f>
        <v>4</v>
      </c>
      <c r="F10" s="52">
        <f>AVERAGE(2,2,1)</f>
        <v>1.6666666666666667</v>
      </c>
      <c r="G10" s="52">
        <v>2</v>
      </c>
      <c r="H10" s="52">
        <f>SUM(Tabla11[[#This Row],[DIAGNÓSTICO REMOTO (HORAS)]:[SOLUCIÓN (HORAS)]])</f>
        <v>8.6666666666666679</v>
      </c>
      <c r="I10" s="13">
        <v>43915.083333333336</v>
      </c>
      <c r="J10" s="13">
        <v>43915.416666608799</v>
      </c>
      <c r="K10" s="14">
        <f>'Oportunidad CCTV'!$J10-'Oportunidad CCTV'!$I10</f>
        <v>0.33333327546279179</v>
      </c>
      <c r="L10" s="15">
        <f t="shared" ref="L10:L16" si="0">(H10-K10)/H10</f>
        <v>0.96153846821583178</v>
      </c>
      <c r="M10" s="15">
        <f>_xlfn.IFS('Oportunidad CCTV'!$L10&gt;=98%,0%,AND('Oportunidad CCTV'!$L10&gt;=95%,'Oportunidad CCTV'!$L10&lt;98%),2%,AND('Oportunidad CCTV'!$L10&gt;=85%,'Oportunidad CCTV'!$L10&lt;95%),3%,'Oportunidad CCTV'!$L10&lt;85%,5%)</f>
        <v>0.02</v>
      </c>
      <c r="N10" s="45"/>
      <c r="O10" s="8"/>
      <c r="P10" s="8"/>
      <c r="Q10" s="8"/>
    </row>
    <row r="11" spans="1:17" x14ac:dyDescent="0.25">
      <c r="A11" s="50">
        <v>4</v>
      </c>
      <c r="B11" s="25" t="s">
        <v>14</v>
      </c>
      <c r="C11" s="24" t="s">
        <v>16</v>
      </c>
      <c r="D11" s="24">
        <v>1</v>
      </c>
      <c r="E11" s="24">
        <f>AVERAGE(2,4,6)</f>
        <v>4</v>
      </c>
      <c r="F11" s="52">
        <f>AVERAGE(2,2,1)</f>
        <v>1.6666666666666667</v>
      </c>
      <c r="G11" s="52">
        <v>2</v>
      </c>
      <c r="H11" s="52">
        <f>SUM(Tabla11[[#This Row],[DIAGNÓSTICO REMOTO (HORAS)]:[SOLUCIÓN (HORAS)]])</f>
        <v>8.6666666666666679</v>
      </c>
      <c r="I11" s="42">
        <v>43916.333333333336</v>
      </c>
      <c r="J11" s="42">
        <v>43916.541666666664</v>
      </c>
      <c r="K11" s="43">
        <f>'Oportunidad CCTV'!$J11-'Oportunidad CCTV'!$I11</f>
        <v>0.20833333332848269</v>
      </c>
      <c r="L11" s="27">
        <f t="shared" si="0"/>
        <v>0.9759615384620981</v>
      </c>
      <c r="M11" s="27">
        <f>_xlfn.IFS('Oportunidad CCTV'!$L11&gt;=98%,0%,AND('Oportunidad CCTV'!$L11&gt;=95%,'Oportunidad CCTV'!$L11&lt;98%),2%,AND('Oportunidad CCTV'!$L11&gt;=85%,'Oportunidad CCTV'!$L11&lt;95%),3%,'Oportunidad CCTV'!$L11&lt;85%,5%)</f>
        <v>0.02</v>
      </c>
      <c r="N11" s="45"/>
      <c r="O11" s="8"/>
      <c r="P11" s="8"/>
      <c r="Q11" s="8"/>
    </row>
    <row r="12" spans="1:17" x14ac:dyDescent="0.25">
      <c r="A12" s="51">
        <v>4</v>
      </c>
      <c r="B12" s="30" t="s">
        <v>14</v>
      </c>
      <c r="C12" s="12" t="s">
        <v>17</v>
      </c>
      <c r="D12" s="12">
        <v>1</v>
      </c>
      <c r="E12" s="24">
        <f t="shared" ref="E12" si="1">AVERAGE(2,4,6)</f>
        <v>4</v>
      </c>
      <c r="F12" s="52">
        <f t="shared" ref="F12" si="2">AVERAGE(2,2,1)</f>
        <v>1.6666666666666667</v>
      </c>
      <c r="G12" s="52">
        <v>5</v>
      </c>
      <c r="H12" s="52">
        <f>SUM(Tabla11[[#This Row],[DIAGNÓSTICO REMOTO (HORAS)]:[SOLUCIÓN (HORAS)]])</f>
        <v>11.666666666666668</v>
      </c>
      <c r="I12" s="13">
        <v>43917.333333333336</v>
      </c>
      <c r="J12" s="13">
        <v>43917.416666608799</v>
      </c>
      <c r="K12" s="14">
        <f>'Oportunidad CCTV'!$J12-'Oportunidad CCTV'!$I12</f>
        <v>8.3333275462791789E-2</v>
      </c>
      <c r="L12" s="15">
        <f t="shared" si="0"/>
        <v>0.99285714781747503</v>
      </c>
      <c r="M12" s="15">
        <f>_xlfn.IFS('Oportunidad CCTV'!$L12&gt;=98%,0%,AND('Oportunidad CCTV'!$L12&gt;=95%,'Oportunidad CCTV'!$L12&lt;98%),2%,AND('Oportunidad CCTV'!$L12&gt;=85%,'Oportunidad CCTV'!$L12&lt;95%),3%,'Oportunidad CCTV'!$L12&lt;85%,5%)</f>
        <v>0</v>
      </c>
      <c r="N12" s="45"/>
      <c r="O12" s="8"/>
      <c r="P12" s="8"/>
      <c r="Q12" s="8"/>
    </row>
    <row r="13" spans="1:17" ht="25.5" x14ac:dyDescent="0.25">
      <c r="A13" s="50">
        <v>4</v>
      </c>
      <c r="B13" s="25" t="s">
        <v>14</v>
      </c>
      <c r="C13" s="24" t="s">
        <v>9</v>
      </c>
      <c r="D13" s="24">
        <v>1</v>
      </c>
      <c r="E13" s="24">
        <f>AVERAGE(3,5,7)</f>
        <v>5</v>
      </c>
      <c r="F13" s="24">
        <v>2</v>
      </c>
      <c r="G13" s="24">
        <v>2</v>
      </c>
      <c r="H13" s="52">
        <f>SUM(Tabla11[[#This Row],[DIAGNÓSTICO REMOTO (HORAS)]:[SOLUCIÓN (HORAS)]])</f>
        <v>10</v>
      </c>
      <c r="I13" s="42">
        <v>43918.333333333336</v>
      </c>
      <c r="J13" s="42">
        <v>43918.416666608799</v>
      </c>
      <c r="K13" s="43">
        <f>'Oportunidad CCTV'!$J13-'Oportunidad CCTV'!$I13</f>
        <v>8.3333275462791789E-2</v>
      </c>
      <c r="L13" s="27">
        <f t="shared" si="0"/>
        <v>0.99166667245372087</v>
      </c>
      <c r="M13" s="27">
        <f>_xlfn.IFS('Oportunidad CCTV'!$L13&gt;=98%,0%,AND('Oportunidad CCTV'!$L13&gt;=95%,'Oportunidad CCTV'!$L13&lt;98%),2%,AND('Oportunidad CCTV'!$L13&gt;=85%,'Oportunidad CCTV'!$L13&lt;95%),3%,'Oportunidad CCTV'!$L13&lt;85%,5%)</f>
        <v>0</v>
      </c>
      <c r="N13" s="45"/>
      <c r="O13" s="8"/>
      <c r="P13" s="8"/>
      <c r="Q13" s="8"/>
    </row>
    <row r="14" spans="1:17" ht="25.5" x14ac:dyDescent="0.25">
      <c r="A14" s="51">
        <v>4</v>
      </c>
      <c r="B14" s="30" t="s">
        <v>14</v>
      </c>
      <c r="C14" s="12" t="s">
        <v>10</v>
      </c>
      <c r="D14" s="12">
        <v>1</v>
      </c>
      <c r="E14" s="12">
        <f>AVERAGE(4,6,8)</f>
        <v>6</v>
      </c>
      <c r="F14" s="12">
        <v>2</v>
      </c>
      <c r="G14" s="12">
        <v>2</v>
      </c>
      <c r="H14" s="52">
        <f>SUM(Tabla11[[#This Row],[DIAGNÓSTICO REMOTO (HORAS)]:[SOLUCIÓN (HORAS)]])</f>
        <v>11</v>
      </c>
      <c r="I14" s="13">
        <v>43919.333333333336</v>
      </c>
      <c r="J14" s="13">
        <v>43919.416666608799</v>
      </c>
      <c r="K14" s="14">
        <v>2</v>
      </c>
      <c r="L14" s="15">
        <f t="shared" si="0"/>
        <v>0.81818181818181823</v>
      </c>
      <c r="M14" s="15">
        <f>_xlfn.IFS('Oportunidad CCTV'!$L14&gt;=98%,0%,AND('Oportunidad CCTV'!$L14&gt;=95%,'Oportunidad CCTV'!$L14&lt;98%),2%,AND('Oportunidad CCTV'!$L14&gt;=85%,'Oportunidad CCTV'!$L14&lt;95%),3%,'Oportunidad CCTV'!$L14&lt;85%,5%)</f>
        <v>0.05</v>
      </c>
      <c r="N14" s="45"/>
      <c r="O14" s="8"/>
      <c r="P14" s="8"/>
      <c r="Q14" s="8"/>
    </row>
    <row r="15" spans="1:17" x14ac:dyDescent="0.25">
      <c r="A15" s="50">
        <v>4</v>
      </c>
      <c r="B15" s="25" t="s">
        <v>14</v>
      </c>
      <c r="C15" s="24" t="s">
        <v>3</v>
      </c>
      <c r="D15" s="24">
        <v>1</v>
      </c>
      <c r="E15" s="24">
        <f>AVERAGE(3,5,7)</f>
        <v>5</v>
      </c>
      <c r="F15" s="24">
        <v>2</v>
      </c>
      <c r="G15" s="24">
        <v>2</v>
      </c>
      <c r="H15" s="52">
        <f>SUM(Tabla11[[#This Row],[DIAGNÓSTICO REMOTO (HORAS)]:[SOLUCIÓN (HORAS)]])</f>
        <v>10</v>
      </c>
      <c r="I15" s="42">
        <v>43920.333333333336</v>
      </c>
      <c r="J15" s="42">
        <v>43920.416666608799</v>
      </c>
      <c r="K15" s="43">
        <f>'Oportunidad CCTV'!$J15-'Oportunidad CCTV'!$I15</f>
        <v>8.3333275462791789E-2</v>
      </c>
      <c r="L15" s="27">
        <f t="shared" si="0"/>
        <v>0.99166667245372087</v>
      </c>
      <c r="M15" s="27">
        <f>_xlfn.IFS('Oportunidad CCTV'!$L15&gt;=98%,0%,AND('Oportunidad CCTV'!$L15&gt;=95%,'Oportunidad CCTV'!$L15&lt;98%),2%,AND('Oportunidad CCTV'!$L15&gt;=85%,'Oportunidad CCTV'!$L15&lt;95%),3%,'Oportunidad CCTV'!$L15&lt;85%,5%)</f>
        <v>0</v>
      </c>
      <c r="N15" s="45"/>
      <c r="O15" s="8"/>
      <c r="P15" s="8"/>
      <c r="Q15" s="8"/>
    </row>
    <row r="16" spans="1:17" x14ac:dyDescent="0.25">
      <c r="A16" s="51">
        <v>4</v>
      </c>
      <c r="B16" s="30" t="s">
        <v>14</v>
      </c>
      <c r="C16" s="12" t="s">
        <v>31</v>
      </c>
      <c r="D16" s="12">
        <v>1</v>
      </c>
      <c r="E16" s="24">
        <f>AVERAGE(2,4,6)</f>
        <v>4</v>
      </c>
      <c r="F16" s="52">
        <f>AVERAGE(2,2,1)</f>
        <v>1.6666666666666667</v>
      </c>
      <c r="G16" s="52">
        <v>2</v>
      </c>
      <c r="H16" s="52">
        <f>SUM(Tabla11[[#This Row],[DIAGNÓSTICO REMOTO (HORAS)]:[SOLUCIÓN (HORAS)]])</f>
        <v>8.6666666666666679</v>
      </c>
      <c r="I16" s="13">
        <v>43921.333333333336</v>
      </c>
      <c r="J16" s="13">
        <v>43921.416666608799</v>
      </c>
      <c r="K16" s="14">
        <f>'Oportunidad CCTV'!$J16-'Oportunidad CCTV'!$I16</f>
        <v>8.3333275462791789E-2</v>
      </c>
      <c r="L16" s="15">
        <f t="shared" si="0"/>
        <v>0.99038462206198552</v>
      </c>
      <c r="M16" s="15">
        <f>_xlfn.IFS('Oportunidad CCTV'!$L16&gt;=98%,0%,AND('Oportunidad CCTV'!$L16&gt;=95%,'Oportunidad CCTV'!$L16&lt;98%),2%,AND('Oportunidad CCTV'!$L16&gt;=85%,'Oportunidad CCTV'!$L16&lt;95%),3%,'Oportunidad CCTV'!$L16&lt;85%,5%)</f>
        <v>0</v>
      </c>
      <c r="N16" s="45"/>
      <c r="O16" s="46"/>
      <c r="P16" s="46"/>
      <c r="Q16" s="46"/>
    </row>
    <row r="21" spans="5:5" x14ac:dyDescent="0.25">
      <c r="E21" s="4"/>
    </row>
  </sheetData>
  <mergeCells count="3">
    <mergeCell ref="A1:Q1"/>
    <mergeCell ref="A2:Q2"/>
    <mergeCell ref="A3:Q3"/>
  </mergeCells>
  <pageMargins left="0.7" right="0.7" top="0.75" bottom="0.75" header="0.3" footer="0.3"/>
  <pageSetup orientation="portrait" horizontalDpi="0" verticalDpi="0"/>
  <ignoredErrors>
    <ignoredError sqref="E14" formula="1"/>
  </ignoredErrors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A39D-D095-4732-9089-492FAB1EBF7C}">
  <dimension ref="A1:O26"/>
  <sheetViews>
    <sheetView zoomScale="70" zoomScaleNormal="70" workbookViewId="0">
      <selection activeCell="E19" sqref="E19:E26"/>
    </sheetView>
  </sheetViews>
  <sheetFormatPr baseColWidth="10" defaultRowHeight="15" customHeight="1" x14ac:dyDescent="0.25"/>
  <cols>
    <col min="1" max="1" width="9" style="70" customWidth="1"/>
    <col min="2" max="2" width="36.5" style="71" bestFit="1" customWidth="1"/>
    <col min="3" max="3" width="57.125" customWidth="1"/>
    <col min="4" max="9" width="17.625" customWidth="1"/>
    <col min="10" max="10" width="17.625" style="57" customWidth="1"/>
    <col min="11" max="11" width="1.625" style="57" customWidth="1"/>
    <col min="12" max="15" width="14.625" customWidth="1"/>
  </cols>
  <sheetData>
    <row r="1" spans="1:15" ht="15" customHeight="1" x14ac:dyDescent="0.25">
      <c r="A1" s="55" t="s">
        <v>36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5" customHeight="1" x14ac:dyDescent="0.25">
      <c r="A2" s="55" t="s">
        <v>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5" ht="1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L4" s="58" t="s">
        <v>22</v>
      </c>
      <c r="M4" s="58" t="s">
        <v>23</v>
      </c>
      <c r="N4" s="58" t="s">
        <v>24</v>
      </c>
      <c r="O4" s="58" t="s">
        <v>25</v>
      </c>
    </row>
    <row r="5" spans="1:15" ht="15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L5" s="19" t="s">
        <v>19</v>
      </c>
      <c r="M5" s="19" t="s">
        <v>28</v>
      </c>
      <c r="N5" s="19" t="s">
        <v>20</v>
      </c>
      <c r="O5" s="19" t="s">
        <v>21</v>
      </c>
    </row>
    <row r="6" spans="1:15" ht="15" customHeight="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L6" s="20">
        <v>0</v>
      </c>
      <c r="M6" s="20">
        <v>0.02</v>
      </c>
      <c r="N6" s="20">
        <v>0.03</v>
      </c>
      <c r="O6" s="20">
        <v>0.05</v>
      </c>
    </row>
    <row r="7" spans="1:15" ht="60" customHeight="1" x14ac:dyDescent="0.25">
      <c r="A7" s="59" t="s">
        <v>38</v>
      </c>
      <c r="B7" s="59" t="s">
        <v>39</v>
      </c>
      <c r="C7" s="59" t="s">
        <v>40</v>
      </c>
      <c r="D7" s="59" t="s">
        <v>41</v>
      </c>
      <c r="E7" s="59" t="s">
        <v>42</v>
      </c>
      <c r="F7" s="59" t="s">
        <v>43</v>
      </c>
      <c r="G7" s="59" t="s">
        <v>0</v>
      </c>
      <c r="H7" s="59" t="s">
        <v>34</v>
      </c>
      <c r="I7" s="59" t="s">
        <v>44</v>
      </c>
      <c r="J7" s="59" t="s">
        <v>32</v>
      </c>
      <c r="K7" s="60"/>
      <c r="L7" s="61"/>
      <c r="M7" s="61"/>
      <c r="N7" s="61"/>
    </row>
    <row r="8" spans="1:15" ht="15" customHeight="1" x14ac:dyDescent="0.25">
      <c r="A8" s="62">
        <v>2</v>
      </c>
      <c r="B8" s="62" t="s">
        <v>45</v>
      </c>
      <c r="C8" s="62" t="s">
        <v>46</v>
      </c>
      <c r="D8" s="62" t="s">
        <v>47</v>
      </c>
      <c r="E8" s="63">
        <v>5</v>
      </c>
      <c r="F8" s="63">
        <f>SUM(E8:E18)</f>
        <v>98</v>
      </c>
      <c r="G8" s="63">
        <v>1</v>
      </c>
      <c r="H8" s="64">
        <f t="shared" ref="H8:H26" si="0">(E8-G8)/E8</f>
        <v>0.8</v>
      </c>
      <c r="I8" s="63" t="s">
        <v>48</v>
      </c>
      <c r="J8" s="64">
        <f>IF(H8&gt;=98%,0%,IF(AND(H8&gt;=95%,H8&lt;98%),2%,IF(AND(H8&gt;=85%,H8&lt;95%),3%,5%)))</f>
        <v>0.05</v>
      </c>
      <c r="K8" s="65"/>
    </row>
    <row r="9" spans="1:15" ht="15" customHeight="1" x14ac:dyDescent="0.25">
      <c r="A9" s="66">
        <v>2</v>
      </c>
      <c r="B9" s="66" t="s">
        <v>45</v>
      </c>
      <c r="C9" s="66" t="s">
        <v>49</v>
      </c>
      <c r="D9" s="66" t="s">
        <v>47</v>
      </c>
      <c r="E9" s="67">
        <v>2</v>
      </c>
      <c r="F9" s="67"/>
      <c r="G9" s="67">
        <v>0</v>
      </c>
      <c r="H9" s="68">
        <f t="shared" si="0"/>
        <v>1</v>
      </c>
      <c r="I9" s="67" t="s">
        <v>48</v>
      </c>
      <c r="J9" s="68">
        <f t="shared" ref="J9:J26" si="1">IF(H9&gt;=98%,0%,IF(AND(H9&gt;=95%,H9&lt;98%),2%,IF(AND(H9&gt;=85%,H9&lt;95%),3%,5%)))</f>
        <v>0</v>
      </c>
      <c r="K9" s="65"/>
    </row>
    <row r="10" spans="1:15" ht="15" customHeight="1" x14ac:dyDescent="0.25">
      <c r="A10" s="62">
        <v>2</v>
      </c>
      <c r="B10" s="62" t="s">
        <v>45</v>
      </c>
      <c r="C10" s="62" t="s">
        <v>50</v>
      </c>
      <c r="D10" s="62" t="s">
        <v>47</v>
      </c>
      <c r="E10" s="63">
        <v>2</v>
      </c>
      <c r="F10" s="63"/>
      <c r="G10" s="63">
        <v>0</v>
      </c>
      <c r="H10" s="64">
        <f t="shared" si="0"/>
        <v>1</v>
      </c>
      <c r="I10" s="63" t="s">
        <v>48</v>
      </c>
      <c r="J10" s="64">
        <f t="shared" si="1"/>
        <v>0</v>
      </c>
      <c r="K10" s="65"/>
    </row>
    <row r="11" spans="1:15" ht="15" customHeight="1" x14ac:dyDescent="0.25">
      <c r="A11" s="66">
        <v>2</v>
      </c>
      <c r="B11" s="66" t="s">
        <v>45</v>
      </c>
      <c r="C11" s="66" t="s">
        <v>51</v>
      </c>
      <c r="D11" s="66" t="s">
        <v>47</v>
      </c>
      <c r="E11" s="67">
        <v>2</v>
      </c>
      <c r="F11" s="67"/>
      <c r="G11" s="67">
        <v>0</v>
      </c>
      <c r="H11" s="68">
        <f t="shared" si="0"/>
        <v>1</v>
      </c>
      <c r="I11" s="67" t="s">
        <v>48</v>
      </c>
      <c r="J11" s="68">
        <f t="shared" si="1"/>
        <v>0</v>
      </c>
      <c r="K11" s="65"/>
    </row>
    <row r="12" spans="1:15" ht="15" customHeight="1" x14ac:dyDescent="0.25">
      <c r="A12" s="62">
        <v>2</v>
      </c>
      <c r="B12" s="62" t="s">
        <v>45</v>
      </c>
      <c r="C12" s="62" t="s">
        <v>52</v>
      </c>
      <c r="D12" s="62" t="s">
        <v>47</v>
      </c>
      <c r="E12" s="63">
        <v>1</v>
      </c>
      <c r="F12" s="63"/>
      <c r="G12" s="63">
        <v>0</v>
      </c>
      <c r="H12" s="64">
        <f t="shared" si="0"/>
        <v>1</v>
      </c>
      <c r="I12" s="63" t="s">
        <v>48</v>
      </c>
      <c r="J12" s="64">
        <f t="shared" si="1"/>
        <v>0</v>
      </c>
      <c r="K12" s="65"/>
    </row>
    <row r="13" spans="1:15" ht="15" customHeight="1" x14ac:dyDescent="0.25">
      <c r="A13" s="66">
        <v>2</v>
      </c>
      <c r="B13" s="66" t="s">
        <v>45</v>
      </c>
      <c r="C13" s="66" t="s">
        <v>53</v>
      </c>
      <c r="D13" s="66" t="s">
        <v>47</v>
      </c>
      <c r="E13" s="67">
        <v>1</v>
      </c>
      <c r="F13" s="67"/>
      <c r="G13" s="67">
        <v>0</v>
      </c>
      <c r="H13" s="68">
        <f t="shared" si="0"/>
        <v>1</v>
      </c>
      <c r="I13" s="67" t="s">
        <v>48</v>
      </c>
      <c r="J13" s="68">
        <f t="shared" si="1"/>
        <v>0</v>
      </c>
      <c r="K13" s="65"/>
    </row>
    <row r="14" spans="1:15" ht="15" customHeight="1" x14ac:dyDescent="0.25">
      <c r="A14" s="62">
        <v>2</v>
      </c>
      <c r="B14" s="62" t="s">
        <v>45</v>
      </c>
      <c r="C14" s="62" t="s">
        <v>54</v>
      </c>
      <c r="D14" s="62" t="s">
        <v>47</v>
      </c>
      <c r="E14" s="63">
        <v>79</v>
      </c>
      <c r="F14" s="63"/>
      <c r="G14" s="63">
        <v>12</v>
      </c>
      <c r="H14" s="64">
        <f t="shared" si="0"/>
        <v>0.84810126582278478</v>
      </c>
      <c r="I14" s="63" t="s">
        <v>48</v>
      </c>
      <c r="J14" s="64">
        <f t="shared" si="1"/>
        <v>0.05</v>
      </c>
      <c r="K14" s="65"/>
    </row>
    <row r="15" spans="1:15" ht="15" customHeight="1" x14ac:dyDescent="0.25">
      <c r="A15" s="66">
        <v>2</v>
      </c>
      <c r="B15" s="66" t="s">
        <v>45</v>
      </c>
      <c r="C15" s="66" t="s">
        <v>55</v>
      </c>
      <c r="D15" s="66" t="s">
        <v>47</v>
      </c>
      <c r="E15" s="67">
        <v>2</v>
      </c>
      <c r="F15" s="67"/>
      <c r="G15" s="67">
        <v>1</v>
      </c>
      <c r="H15" s="68">
        <f t="shared" si="0"/>
        <v>0.5</v>
      </c>
      <c r="I15" s="67" t="s">
        <v>48</v>
      </c>
      <c r="J15" s="68">
        <f t="shared" si="1"/>
        <v>0.05</v>
      </c>
      <c r="K15" s="65"/>
    </row>
    <row r="16" spans="1:15" ht="15" customHeight="1" x14ac:dyDescent="0.25">
      <c r="A16" s="62">
        <v>2</v>
      </c>
      <c r="B16" s="62" t="s">
        <v>45</v>
      </c>
      <c r="C16" s="62" t="s">
        <v>56</v>
      </c>
      <c r="D16" s="62" t="s">
        <v>47</v>
      </c>
      <c r="E16" s="63">
        <v>2</v>
      </c>
      <c r="F16" s="63"/>
      <c r="G16" s="63">
        <v>1</v>
      </c>
      <c r="H16" s="64">
        <f t="shared" si="0"/>
        <v>0.5</v>
      </c>
      <c r="I16" s="63" t="s">
        <v>48</v>
      </c>
      <c r="J16" s="64">
        <f t="shared" si="1"/>
        <v>0.05</v>
      </c>
      <c r="K16" s="65"/>
    </row>
    <row r="17" spans="1:11" ht="15" customHeight="1" x14ac:dyDescent="0.25">
      <c r="A17" s="66">
        <v>2</v>
      </c>
      <c r="B17" s="66" t="s">
        <v>45</v>
      </c>
      <c r="C17" s="66" t="s">
        <v>57</v>
      </c>
      <c r="D17" s="66" t="s">
        <v>47</v>
      </c>
      <c r="E17" s="67">
        <v>1</v>
      </c>
      <c r="F17" s="67"/>
      <c r="G17" s="67">
        <v>0</v>
      </c>
      <c r="H17" s="68">
        <f t="shared" si="0"/>
        <v>1</v>
      </c>
      <c r="I17" s="67" t="s">
        <v>48</v>
      </c>
      <c r="J17" s="68">
        <f t="shared" si="1"/>
        <v>0</v>
      </c>
      <c r="K17" s="65"/>
    </row>
    <row r="18" spans="1:11" ht="15" customHeight="1" x14ac:dyDescent="0.25">
      <c r="A18" s="62">
        <v>2</v>
      </c>
      <c r="B18" s="62" t="s">
        <v>45</v>
      </c>
      <c r="C18" s="62" t="s">
        <v>58</v>
      </c>
      <c r="D18" s="62" t="s">
        <v>47</v>
      </c>
      <c r="E18" s="63">
        <v>1</v>
      </c>
      <c r="F18" s="63"/>
      <c r="G18" s="63">
        <v>0</v>
      </c>
      <c r="H18" s="64">
        <f t="shared" si="0"/>
        <v>1</v>
      </c>
      <c r="I18" s="63" t="s">
        <v>48</v>
      </c>
      <c r="J18" s="64">
        <f t="shared" si="1"/>
        <v>0</v>
      </c>
      <c r="K18" s="65"/>
    </row>
    <row r="19" spans="1:11" ht="15" customHeight="1" x14ac:dyDescent="0.25">
      <c r="A19" s="66">
        <v>9</v>
      </c>
      <c r="B19" s="66" t="s">
        <v>59</v>
      </c>
      <c r="C19" s="66" t="s">
        <v>60</v>
      </c>
      <c r="D19" s="66" t="s">
        <v>47</v>
      </c>
      <c r="E19" s="67">
        <v>4</v>
      </c>
      <c r="F19" s="67">
        <f>SUM(E19:E26)</f>
        <v>19</v>
      </c>
      <c r="G19" s="67">
        <v>1</v>
      </c>
      <c r="H19" s="68">
        <f t="shared" si="0"/>
        <v>0.75</v>
      </c>
      <c r="I19" s="67" t="s">
        <v>48</v>
      </c>
      <c r="J19" s="68">
        <f t="shared" si="1"/>
        <v>0.05</v>
      </c>
      <c r="K19" s="65"/>
    </row>
    <row r="20" spans="1:11" ht="15" customHeight="1" x14ac:dyDescent="0.25">
      <c r="A20" s="62">
        <v>9</v>
      </c>
      <c r="B20" s="62" t="s">
        <v>59</v>
      </c>
      <c r="C20" s="62" t="s">
        <v>61</v>
      </c>
      <c r="D20" s="62" t="s">
        <v>47</v>
      </c>
      <c r="E20" s="63">
        <v>1</v>
      </c>
      <c r="F20" s="63"/>
      <c r="G20" s="63">
        <v>0</v>
      </c>
      <c r="H20" s="64">
        <f t="shared" si="0"/>
        <v>1</v>
      </c>
      <c r="I20" s="63" t="s">
        <v>48</v>
      </c>
      <c r="J20" s="64">
        <f t="shared" si="1"/>
        <v>0</v>
      </c>
      <c r="K20" s="65"/>
    </row>
    <row r="21" spans="1:11" ht="15" customHeight="1" x14ac:dyDescent="0.25">
      <c r="A21" s="66">
        <v>9</v>
      </c>
      <c r="B21" s="66" t="s">
        <v>59</v>
      </c>
      <c r="C21" s="66" t="s">
        <v>62</v>
      </c>
      <c r="D21" s="66" t="s">
        <v>47</v>
      </c>
      <c r="E21" s="67">
        <v>1</v>
      </c>
      <c r="F21" s="67"/>
      <c r="G21" s="67">
        <v>0</v>
      </c>
      <c r="H21" s="68">
        <f t="shared" si="0"/>
        <v>1</v>
      </c>
      <c r="I21" s="67" t="s">
        <v>48</v>
      </c>
      <c r="J21" s="68">
        <f t="shared" si="1"/>
        <v>0</v>
      </c>
      <c r="K21" s="65"/>
    </row>
    <row r="22" spans="1:11" ht="15" customHeight="1" x14ac:dyDescent="0.25">
      <c r="A22" s="62">
        <v>9</v>
      </c>
      <c r="B22" s="62" t="s">
        <v>59</v>
      </c>
      <c r="C22" s="62" t="s">
        <v>63</v>
      </c>
      <c r="D22" s="62" t="s">
        <v>47</v>
      </c>
      <c r="E22" s="63">
        <v>2</v>
      </c>
      <c r="F22" s="63"/>
      <c r="G22" s="63">
        <v>0</v>
      </c>
      <c r="H22" s="64">
        <f t="shared" si="0"/>
        <v>1</v>
      </c>
      <c r="I22" s="63" t="s">
        <v>48</v>
      </c>
      <c r="J22" s="64">
        <f t="shared" si="1"/>
        <v>0</v>
      </c>
      <c r="K22" s="65"/>
    </row>
    <row r="23" spans="1:11" ht="15" customHeight="1" x14ac:dyDescent="0.25">
      <c r="A23" s="66">
        <v>9</v>
      </c>
      <c r="B23" s="66" t="s">
        <v>59</v>
      </c>
      <c r="C23" s="66" t="s">
        <v>64</v>
      </c>
      <c r="D23" s="66" t="s">
        <v>47</v>
      </c>
      <c r="E23" s="67">
        <v>8</v>
      </c>
      <c r="F23" s="67"/>
      <c r="G23" s="67">
        <v>1</v>
      </c>
      <c r="H23" s="68">
        <f t="shared" si="0"/>
        <v>0.875</v>
      </c>
      <c r="I23" s="67" t="s">
        <v>48</v>
      </c>
      <c r="J23" s="68">
        <f t="shared" si="1"/>
        <v>0.03</v>
      </c>
      <c r="K23" s="65"/>
    </row>
    <row r="24" spans="1:11" ht="15" customHeight="1" x14ac:dyDescent="0.25">
      <c r="A24" s="62">
        <v>9</v>
      </c>
      <c r="B24" s="62" t="s">
        <v>59</v>
      </c>
      <c r="C24" s="62" t="s">
        <v>65</v>
      </c>
      <c r="D24" s="62" t="s">
        <v>47</v>
      </c>
      <c r="E24" s="63">
        <v>1</v>
      </c>
      <c r="F24" s="63"/>
      <c r="G24" s="63">
        <v>0</v>
      </c>
      <c r="H24" s="64">
        <f t="shared" si="0"/>
        <v>1</v>
      </c>
      <c r="I24" s="63" t="s">
        <v>48</v>
      </c>
      <c r="J24" s="64">
        <f t="shared" si="1"/>
        <v>0</v>
      </c>
      <c r="K24" s="65"/>
    </row>
    <row r="25" spans="1:11" ht="15" customHeight="1" x14ac:dyDescent="0.25">
      <c r="A25" s="66">
        <v>9</v>
      </c>
      <c r="B25" s="66" t="s">
        <v>59</v>
      </c>
      <c r="C25" s="66" t="s">
        <v>66</v>
      </c>
      <c r="D25" s="66" t="s">
        <v>47</v>
      </c>
      <c r="E25" s="67">
        <v>1</v>
      </c>
      <c r="F25" s="67"/>
      <c r="G25" s="67">
        <v>0</v>
      </c>
      <c r="H25" s="68">
        <f t="shared" si="0"/>
        <v>1</v>
      </c>
      <c r="I25" s="67" t="s">
        <v>48</v>
      </c>
      <c r="J25" s="68">
        <f t="shared" si="1"/>
        <v>0</v>
      </c>
      <c r="K25" s="65"/>
    </row>
    <row r="26" spans="1:11" ht="15" customHeight="1" x14ac:dyDescent="0.25">
      <c r="A26" s="62">
        <v>9</v>
      </c>
      <c r="B26" s="62" t="s">
        <v>59</v>
      </c>
      <c r="C26" s="62" t="s">
        <v>67</v>
      </c>
      <c r="D26" s="62" t="s">
        <v>47</v>
      </c>
      <c r="E26" s="63">
        <v>1</v>
      </c>
      <c r="F26" s="63"/>
      <c r="G26" s="63">
        <v>0</v>
      </c>
      <c r="H26" s="64">
        <f t="shared" si="0"/>
        <v>1</v>
      </c>
      <c r="I26" s="63" t="s">
        <v>48</v>
      </c>
      <c r="J26" s="64">
        <f t="shared" si="1"/>
        <v>0</v>
      </c>
      <c r="K26" s="65"/>
    </row>
  </sheetData>
  <autoFilter ref="A7:J26" xr:uid="{00000000-0009-0000-0000-000000000000}"/>
  <mergeCells count="2">
    <mergeCell ref="A1:O1"/>
    <mergeCell ref="A2:O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8DFB-3022-48EB-918A-DA503919C6D5}">
  <dimension ref="A1:R26"/>
  <sheetViews>
    <sheetView zoomScale="70" zoomScaleNormal="70" workbookViewId="0">
      <selection sqref="A1:R1"/>
    </sheetView>
  </sheetViews>
  <sheetFormatPr baseColWidth="10" defaultColWidth="17.625" defaultRowHeight="15" customHeight="1" x14ac:dyDescent="0.25"/>
  <cols>
    <col min="1" max="1" width="9" style="70" customWidth="1"/>
    <col min="2" max="2" width="36.5" style="71" customWidth="1"/>
    <col min="3" max="3" width="57.125" customWidth="1"/>
    <col min="4" max="7" width="17.625" customWidth="1"/>
    <col min="10" max="10" width="17.625" style="57"/>
    <col min="11" max="12" width="17.625" style="73"/>
    <col min="14" max="14" width="1.625" customWidth="1"/>
    <col min="15" max="18" width="14.625" customWidth="1"/>
  </cols>
  <sheetData>
    <row r="1" spans="1:18" ht="15" customHeight="1" x14ac:dyDescent="0.25">
      <c r="A1" s="55" t="s">
        <v>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15" customHeight="1" x14ac:dyDescent="0.25">
      <c r="A2" s="55" t="s">
        <v>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15" customHeight="1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8" ht="15" customHeight="1" x14ac:dyDescent="0.25">
      <c r="O4" s="58" t="s">
        <v>22</v>
      </c>
      <c r="P4" s="58" t="s">
        <v>23</v>
      </c>
      <c r="Q4" s="58" t="s">
        <v>24</v>
      </c>
      <c r="R4" s="58" t="s">
        <v>25</v>
      </c>
    </row>
    <row r="5" spans="1:18" ht="15" customHeight="1" x14ac:dyDescent="0.25">
      <c r="O5" s="19" t="s">
        <v>19</v>
      </c>
      <c r="P5" s="19" t="s">
        <v>28</v>
      </c>
      <c r="Q5" s="19" t="s">
        <v>20</v>
      </c>
      <c r="R5" s="19" t="s">
        <v>21</v>
      </c>
    </row>
    <row r="6" spans="1:18" ht="15" customHeight="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O6" s="20">
        <v>0</v>
      </c>
      <c r="P6" s="20">
        <v>0.02</v>
      </c>
      <c r="Q6" s="20">
        <v>0.03</v>
      </c>
      <c r="R6" s="20">
        <v>0.05</v>
      </c>
    </row>
    <row r="7" spans="1:18" ht="60" customHeight="1" x14ac:dyDescent="0.25">
      <c r="A7" s="74" t="s">
        <v>69</v>
      </c>
      <c r="B7" s="17" t="s">
        <v>39</v>
      </c>
      <c r="C7" s="17" t="s">
        <v>40</v>
      </c>
      <c r="D7" s="17" t="s">
        <v>41</v>
      </c>
      <c r="E7" s="17" t="s">
        <v>42</v>
      </c>
      <c r="F7" s="17" t="s">
        <v>43</v>
      </c>
      <c r="G7" s="17" t="s">
        <v>0</v>
      </c>
      <c r="H7" s="18" t="s">
        <v>1</v>
      </c>
      <c r="I7" s="18" t="s">
        <v>2</v>
      </c>
      <c r="J7" s="9" t="s">
        <v>33</v>
      </c>
      <c r="K7" s="9" t="s">
        <v>70</v>
      </c>
      <c r="L7" s="75" t="s">
        <v>35</v>
      </c>
      <c r="M7" s="17" t="s">
        <v>32</v>
      </c>
      <c r="N7" s="61"/>
      <c r="O7" s="61"/>
      <c r="P7" s="61"/>
      <c r="Q7" s="61"/>
    </row>
    <row r="8" spans="1:18" ht="15" customHeight="1" x14ac:dyDescent="0.25">
      <c r="A8" s="76">
        <v>2</v>
      </c>
      <c r="B8" s="12" t="s">
        <v>45</v>
      </c>
      <c r="C8" s="12" t="s">
        <v>46</v>
      </c>
      <c r="D8" s="12" t="s">
        <v>47</v>
      </c>
      <c r="E8" s="77">
        <v>5</v>
      </c>
      <c r="F8" s="77">
        <f>SUM(E8:E18)</f>
        <v>98</v>
      </c>
      <c r="G8" s="77"/>
      <c r="H8" s="78">
        <v>43914.333333333336</v>
      </c>
      <c r="I8" s="78">
        <v>43914.375</v>
      </c>
      <c r="J8" s="79">
        <f>INT(HOUR(Tabla9[[#This Row],[FECHA DE CIERRE MESA DE AYUDA]]-Tabla9[[#This Row],[FECHA APERTURA CASO EN MESA DE AYUDA]]))</f>
        <v>1</v>
      </c>
      <c r="K8" s="80">
        <f>IF(Tabla9[[#This Row],[CLASIFICACIÓN DEL SISTEMA]]="Crítico",2,12)</f>
        <v>2</v>
      </c>
      <c r="L8" s="81">
        <f>Tabla9[[#This Row],[TIEMPO PACTADO CONTRATO SISTEMA CRÍTICO t &lt;= 2h , SISTEMA NO CRÍTICO t &lt;= 12 h]]/Tabla9[[#This Row],[TIEMPO DE SOLUCIÓN]]</f>
        <v>2</v>
      </c>
      <c r="M8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83"/>
      <c r="O8" s="84"/>
      <c r="P8" s="84"/>
      <c r="Q8" s="84"/>
    </row>
    <row r="9" spans="1:18" ht="15" customHeight="1" x14ac:dyDescent="0.25">
      <c r="A9" s="76">
        <v>2</v>
      </c>
      <c r="B9" s="12" t="s">
        <v>45</v>
      </c>
      <c r="C9" s="12" t="s">
        <v>49</v>
      </c>
      <c r="D9" s="12" t="s">
        <v>47</v>
      </c>
      <c r="E9" s="77">
        <v>2</v>
      </c>
      <c r="F9" s="77"/>
      <c r="G9" s="77"/>
      <c r="H9" s="85">
        <v>43915.583333333336</v>
      </c>
      <c r="I9" s="85">
        <v>43915.75</v>
      </c>
      <c r="J9" s="79">
        <f>INT(HOUR(Tabla9[[#This Row],[FECHA DE CIERRE MESA DE AYUDA]]-Tabla9[[#This Row],[FECHA APERTURA CASO EN MESA DE AYUDA]]))</f>
        <v>4</v>
      </c>
      <c r="K9" s="80">
        <f>IF(Tabla9[[#This Row],[CLASIFICACIÓN DEL SISTEMA]]="Crítico",2,12)</f>
        <v>2</v>
      </c>
      <c r="L9" s="81">
        <f>Tabla9[[#This Row],[TIEMPO PACTADO CONTRATO SISTEMA CRÍTICO t &lt;= 2h , SISTEMA NO CRÍTICO t &lt;= 12 h]]/Tabla9[[#This Row],[TIEMPO DE SOLUCIÓN]]</f>
        <v>0.5</v>
      </c>
      <c r="M9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N9" s="83"/>
      <c r="O9" s="84"/>
      <c r="P9" s="84"/>
      <c r="Q9" s="84"/>
    </row>
    <row r="10" spans="1:18" ht="15" customHeight="1" x14ac:dyDescent="0.25">
      <c r="A10" s="76">
        <v>2</v>
      </c>
      <c r="B10" s="12" t="s">
        <v>45</v>
      </c>
      <c r="C10" s="12" t="s">
        <v>50</v>
      </c>
      <c r="D10" s="12" t="s">
        <v>47</v>
      </c>
      <c r="E10" s="77">
        <v>2</v>
      </c>
      <c r="F10" s="77"/>
      <c r="G10" s="77"/>
      <c r="H10" s="85">
        <v>43915.583333333336</v>
      </c>
      <c r="I10" s="85">
        <v>43915.625</v>
      </c>
      <c r="J10" s="79">
        <f>INT(HOUR(Tabla9[[#This Row],[FECHA DE CIERRE MESA DE AYUDA]]-Tabla9[[#This Row],[FECHA APERTURA CASO EN MESA DE AYUDA]]))</f>
        <v>1</v>
      </c>
      <c r="K10" s="80">
        <f>IF(Tabla9[[#This Row],[CLASIFICACIÓN DEL SISTEMA]]="Crítico",2,12)</f>
        <v>2</v>
      </c>
      <c r="L10" s="81">
        <f>Tabla9[[#This Row],[TIEMPO PACTADO CONTRATO SISTEMA CRÍTICO t &lt;= 2h , SISTEMA NO CRÍTICO t &lt;= 12 h]]/Tabla9[[#This Row],[TIEMPO DE SOLUCIÓN]]</f>
        <v>2</v>
      </c>
      <c r="M10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0" s="84"/>
      <c r="P10" s="84"/>
      <c r="Q10" s="84"/>
    </row>
    <row r="11" spans="1:18" ht="15" customHeight="1" x14ac:dyDescent="0.25">
      <c r="A11" s="76">
        <v>2</v>
      </c>
      <c r="B11" s="12" t="s">
        <v>45</v>
      </c>
      <c r="C11" s="12" t="s">
        <v>51</v>
      </c>
      <c r="D11" s="12" t="s">
        <v>47</v>
      </c>
      <c r="E11" s="77">
        <v>2</v>
      </c>
      <c r="F11" s="77"/>
      <c r="G11" s="77"/>
      <c r="H11" s="85">
        <v>43915.583333333336</v>
      </c>
      <c r="I11" s="85">
        <v>43915.625</v>
      </c>
      <c r="J11" s="79">
        <f>INT(HOUR(Tabla9[[#This Row],[FECHA DE CIERRE MESA DE AYUDA]]-Tabla9[[#This Row],[FECHA APERTURA CASO EN MESA DE AYUDA]]))</f>
        <v>1</v>
      </c>
      <c r="K11" s="80">
        <f>IF(Tabla9[[#This Row],[CLASIFICACIÓN DEL SISTEMA]]="Crítico",2,12)</f>
        <v>2</v>
      </c>
      <c r="L11" s="81">
        <f>Tabla9[[#This Row],[TIEMPO PACTADO CONTRATO SISTEMA CRÍTICO t &lt;= 2h , SISTEMA NO CRÍTICO t &lt;= 12 h]]/Tabla9[[#This Row],[TIEMPO DE SOLUCIÓN]]</f>
        <v>2</v>
      </c>
      <c r="M11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1" s="86"/>
      <c r="P11" s="86"/>
      <c r="Q11" s="86"/>
    </row>
    <row r="12" spans="1:18" ht="15" customHeight="1" x14ac:dyDescent="0.25">
      <c r="A12" s="76">
        <v>2</v>
      </c>
      <c r="B12" s="12" t="s">
        <v>45</v>
      </c>
      <c r="C12" s="12" t="s">
        <v>52</v>
      </c>
      <c r="D12" s="12" t="s">
        <v>47</v>
      </c>
      <c r="E12" s="77">
        <v>1</v>
      </c>
      <c r="F12" s="77"/>
      <c r="G12" s="77"/>
      <c r="H12" s="85">
        <v>43915.583333333336</v>
      </c>
      <c r="I12" s="85">
        <v>43915.625</v>
      </c>
      <c r="J12" s="79">
        <f>INT(HOUR(Tabla9[[#This Row],[FECHA DE CIERRE MESA DE AYUDA]]-Tabla9[[#This Row],[FECHA APERTURA CASO EN MESA DE AYUDA]]))</f>
        <v>1</v>
      </c>
      <c r="K12" s="80">
        <f>IF(Tabla9[[#This Row],[CLASIFICACIÓN DEL SISTEMA]]="Crítico",2,12)</f>
        <v>2</v>
      </c>
      <c r="L12" s="81">
        <f>Tabla9[[#This Row],[TIEMPO PACTADO CONTRATO SISTEMA CRÍTICO t &lt;= 2h , SISTEMA NO CRÍTICO t &lt;= 12 h]]/Tabla9[[#This Row],[TIEMPO DE SOLUCIÓN]]</f>
        <v>2</v>
      </c>
      <c r="M12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2" s="86"/>
      <c r="P12" s="86"/>
      <c r="Q12" s="86"/>
    </row>
    <row r="13" spans="1:18" ht="15" customHeight="1" x14ac:dyDescent="0.25">
      <c r="A13" s="76">
        <v>2</v>
      </c>
      <c r="B13" s="12" t="s">
        <v>45</v>
      </c>
      <c r="C13" s="12" t="s">
        <v>53</v>
      </c>
      <c r="D13" s="12" t="s">
        <v>47</v>
      </c>
      <c r="E13" s="77">
        <v>1</v>
      </c>
      <c r="F13" s="77"/>
      <c r="G13" s="77"/>
      <c r="H13" s="85">
        <v>43915.583333333336</v>
      </c>
      <c r="I13" s="85">
        <v>43915.697916666664</v>
      </c>
      <c r="J13" s="79">
        <f>INT(HOUR(Tabla9[[#This Row],[FECHA DE CIERRE MESA DE AYUDA]]-Tabla9[[#This Row],[FECHA APERTURA CASO EN MESA DE AYUDA]]))</f>
        <v>2</v>
      </c>
      <c r="K13" s="80">
        <f>IF(Tabla9[[#This Row],[CLASIFICACIÓN DEL SISTEMA]]="Crítico",2,12)</f>
        <v>2</v>
      </c>
      <c r="L13" s="81">
        <f>Tabla9[[#This Row],[TIEMPO PACTADO CONTRATO SISTEMA CRÍTICO t &lt;= 2h , SISTEMA NO CRÍTICO t &lt;= 12 h]]/Tabla9[[#This Row],[TIEMPO DE SOLUCIÓN]]</f>
        <v>1</v>
      </c>
      <c r="M13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3" s="86"/>
      <c r="P13" s="86"/>
      <c r="Q13" s="86"/>
    </row>
    <row r="14" spans="1:18" ht="15" customHeight="1" x14ac:dyDescent="0.25">
      <c r="A14" s="76">
        <v>2</v>
      </c>
      <c r="B14" s="12" t="s">
        <v>45</v>
      </c>
      <c r="C14" s="12" t="s">
        <v>54</v>
      </c>
      <c r="D14" s="12" t="s">
        <v>47</v>
      </c>
      <c r="E14" s="77">
        <v>79</v>
      </c>
      <c r="F14" s="77"/>
      <c r="G14" s="77"/>
      <c r="H14" s="85">
        <v>43915.583333333336</v>
      </c>
      <c r="I14" s="85">
        <v>43915.625</v>
      </c>
      <c r="J14" s="79">
        <f>INT(HOUR(Tabla9[[#This Row],[FECHA DE CIERRE MESA DE AYUDA]]-Tabla9[[#This Row],[FECHA APERTURA CASO EN MESA DE AYUDA]]))</f>
        <v>1</v>
      </c>
      <c r="K14" s="80">
        <f>IF(Tabla9[[#This Row],[CLASIFICACIÓN DEL SISTEMA]]="Crítico",2,12)</f>
        <v>2</v>
      </c>
      <c r="L14" s="81">
        <f>Tabla9[[#This Row],[TIEMPO PACTADO CONTRATO SISTEMA CRÍTICO t &lt;= 2h , SISTEMA NO CRÍTICO t &lt;= 12 h]]/Tabla9[[#This Row],[TIEMPO DE SOLUCIÓN]]</f>
        <v>2</v>
      </c>
      <c r="M14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O14" s="86"/>
      <c r="P14" s="86"/>
      <c r="Q14" s="86"/>
    </row>
    <row r="15" spans="1:18" ht="15" customHeight="1" x14ac:dyDescent="0.25">
      <c r="A15" s="76">
        <v>2</v>
      </c>
      <c r="B15" s="12" t="s">
        <v>45</v>
      </c>
      <c r="C15" s="12" t="s">
        <v>55</v>
      </c>
      <c r="D15" s="12" t="s">
        <v>47</v>
      </c>
      <c r="E15" s="77">
        <v>2</v>
      </c>
      <c r="F15" s="77"/>
      <c r="G15" s="77"/>
      <c r="H15" s="85">
        <v>43915.583333333336</v>
      </c>
      <c r="I15" s="85">
        <v>43915.708333333336</v>
      </c>
      <c r="J15" s="79">
        <f>INT(HOUR(Tabla9[[#This Row],[FECHA DE CIERRE MESA DE AYUDA]]-Tabla9[[#This Row],[FECHA APERTURA CASO EN MESA DE AYUDA]]))</f>
        <v>3</v>
      </c>
      <c r="K15" s="80">
        <f>IF(Tabla9[[#This Row],[CLASIFICACIÓN DEL SISTEMA]]="Crítico",2,12)</f>
        <v>2</v>
      </c>
      <c r="L15" s="81">
        <f>Tabla9[[#This Row],[TIEMPO PACTADO CONTRATO SISTEMA CRÍTICO t &lt;= 2h , SISTEMA NO CRÍTICO t &lt;= 12 h]]/Tabla9[[#This Row],[TIEMPO DE SOLUCIÓN]]</f>
        <v>0.66666666666666663</v>
      </c>
      <c r="M15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O15" s="86"/>
      <c r="P15" s="86"/>
      <c r="Q15" s="86"/>
    </row>
    <row r="16" spans="1:18" ht="15" customHeight="1" x14ac:dyDescent="0.25">
      <c r="A16" s="76">
        <v>2</v>
      </c>
      <c r="B16" s="12" t="s">
        <v>45</v>
      </c>
      <c r="C16" s="12" t="s">
        <v>56</v>
      </c>
      <c r="D16" s="12" t="s">
        <v>47</v>
      </c>
      <c r="E16" s="77">
        <v>2</v>
      </c>
      <c r="F16" s="77"/>
      <c r="G16" s="77"/>
      <c r="H16" s="85">
        <v>43915.583333333336</v>
      </c>
      <c r="I16" s="85">
        <v>43915.833333333336</v>
      </c>
      <c r="J16" s="79">
        <f>INT(HOUR(Tabla9[[#This Row],[FECHA DE CIERRE MESA DE AYUDA]]-Tabla9[[#This Row],[FECHA APERTURA CASO EN MESA DE AYUDA]]))</f>
        <v>6</v>
      </c>
      <c r="K16" s="80">
        <f>IF(Tabla9[[#This Row],[CLASIFICACIÓN DEL SISTEMA]]="Crítico",2,12)</f>
        <v>2</v>
      </c>
      <c r="L16" s="81">
        <f>Tabla9[[#This Row],[TIEMPO PACTADO CONTRATO SISTEMA CRÍTICO t &lt;= 2h , SISTEMA NO CRÍTICO t &lt;= 12 h]]/Tabla9[[#This Row],[TIEMPO DE SOLUCIÓN]]</f>
        <v>0.33333333333333331</v>
      </c>
      <c r="M16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N16" s="69"/>
      <c r="O16" s="86"/>
      <c r="P16" s="86"/>
      <c r="Q16" s="86"/>
    </row>
    <row r="17" spans="1:17" ht="15" customHeight="1" x14ac:dyDescent="0.25">
      <c r="A17" s="76">
        <v>2</v>
      </c>
      <c r="B17" s="12" t="s">
        <v>45</v>
      </c>
      <c r="C17" s="12" t="s">
        <v>57</v>
      </c>
      <c r="D17" s="12" t="s">
        <v>47</v>
      </c>
      <c r="E17" s="77">
        <v>1</v>
      </c>
      <c r="F17" s="77"/>
      <c r="G17" s="77"/>
      <c r="H17" s="85">
        <v>43915.583333333336</v>
      </c>
      <c r="I17" s="85">
        <v>43915.625</v>
      </c>
      <c r="J17" s="79">
        <f>INT(HOUR(Tabla9[[#This Row],[FECHA DE CIERRE MESA DE AYUDA]]-Tabla9[[#This Row],[FECHA APERTURA CASO EN MESA DE AYUDA]]))</f>
        <v>1</v>
      </c>
      <c r="K17" s="80">
        <f>IF(Tabla9[[#This Row],[CLASIFICACIÓN DEL SISTEMA]]="Crítico",2,12)</f>
        <v>2</v>
      </c>
      <c r="L17" s="81">
        <f>Tabla9[[#This Row],[TIEMPO PACTADO CONTRATO SISTEMA CRÍTICO t &lt;= 2h , SISTEMA NO CRÍTICO t &lt;= 12 h]]/Tabla9[[#This Row],[TIEMPO DE SOLUCIÓN]]</f>
        <v>2</v>
      </c>
      <c r="M17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7" s="69"/>
      <c r="O17" s="69"/>
      <c r="P17" s="69"/>
      <c r="Q17" s="69"/>
    </row>
    <row r="18" spans="1:17" ht="15" customHeight="1" x14ac:dyDescent="0.25">
      <c r="A18" s="76">
        <v>2</v>
      </c>
      <c r="B18" s="12" t="s">
        <v>45</v>
      </c>
      <c r="C18" s="12" t="s">
        <v>58</v>
      </c>
      <c r="D18" s="12" t="s">
        <v>47</v>
      </c>
      <c r="E18" s="77">
        <v>1</v>
      </c>
      <c r="F18" s="77"/>
      <c r="G18" s="77"/>
      <c r="H18" s="85">
        <v>43915.583333333336</v>
      </c>
      <c r="I18" s="85">
        <v>43915.625</v>
      </c>
      <c r="J18" s="79">
        <f>INT(HOUR(Tabla9[[#This Row],[FECHA DE CIERRE MESA DE AYUDA]]-Tabla9[[#This Row],[FECHA APERTURA CASO EN MESA DE AYUDA]]))</f>
        <v>1</v>
      </c>
      <c r="K18" s="80">
        <f>IF(Tabla9[[#This Row],[CLASIFICACIÓN DEL SISTEMA]]="Crítico",2,12)</f>
        <v>2</v>
      </c>
      <c r="L18" s="81">
        <f>Tabla9[[#This Row],[TIEMPO PACTADO CONTRATO SISTEMA CRÍTICO t &lt;= 2h , SISTEMA NO CRÍTICO t &lt;= 12 h]]/Tabla9[[#This Row],[TIEMPO DE SOLUCIÓN]]</f>
        <v>2</v>
      </c>
      <c r="M18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8" s="69"/>
      <c r="O18" s="69"/>
      <c r="P18" s="69"/>
      <c r="Q18" s="69"/>
    </row>
    <row r="19" spans="1:17" ht="15" customHeight="1" x14ac:dyDescent="0.25">
      <c r="A19" s="76">
        <v>9</v>
      </c>
      <c r="B19" s="12" t="s">
        <v>59</v>
      </c>
      <c r="C19" s="12" t="s">
        <v>60</v>
      </c>
      <c r="D19" s="12" t="s">
        <v>47</v>
      </c>
      <c r="E19" s="77">
        <v>4</v>
      </c>
      <c r="F19" s="77">
        <f>SUM(E19:E26)</f>
        <v>19</v>
      </c>
      <c r="G19" s="77"/>
      <c r="H19" s="85">
        <v>43915.583333333336</v>
      </c>
      <c r="I19" s="85">
        <v>43915.625</v>
      </c>
      <c r="J19" s="79">
        <f>INT(HOUR(Tabla9[[#This Row],[FECHA DE CIERRE MESA DE AYUDA]]-Tabla9[[#This Row],[FECHA APERTURA CASO EN MESA DE AYUDA]]))</f>
        <v>1</v>
      </c>
      <c r="K19" s="80">
        <f>IF(Tabla9[[#This Row],[CLASIFICACIÓN DEL SISTEMA]]="Crítico",2,12)</f>
        <v>2</v>
      </c>
      <c r="L19" s="81">
        <f>Tabla9[[#This Row],[TIEMPO PACTADO CONTRATO SISTEMA CRÍTICO t &lt;= 2h , SISTEMA NO CRÍTICO t &lt;= 12 h]]/Tabla9[[#This Row],[TIEMPO DE SOLUCIÓN]]</f>
        <v>2</v>
      </c>
      <c r="M19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9" s="69"/>
      <c r="O19" s="69"/>
      <c r="P19" s="69"/>
      <c r="Q19" s="69"/>
    </row>
    <row r="20" spans="1:17" ht="15" customHeight="1" x14ac:dyDescent="0.25">
      <c r="A20" s="76">
        <v>9</v>
      </c>
      <c r="B20" s="12" t="s">
        <v>59</v>
      </c>
      <c r="C20" s="12" t="s">
        <v>61</v>
      </c>
      <c r="D20" s="12" t="s">
        <v>47</v>
      </c>
      <c r="E20" s="77">
        <v>1</v>
      </c>
      <c r="F20" s="77"/>
      <c r="G20" s="77"/>
      <c r="H20" s="85">
        <v>43915.583333333336</v>
      </c>
      <c r="I20" s="85">
        <v>43915.625</v>
      </c>
      <c r="J20" s="79">
        <f>INT(HOUR(Tabla9[[#This Row],[FECHA DE CIERRE MESA DE AYUDA]]-Tabla9[[#This Row],[FECHA APERTURA CASO EN MESA DE AYUDA]]))</f>
        <v>1</v>
      </c>
      <c r="K20" s="80">
        <f>IF(Tabla9[[#This Row],[CLASIFICACIÓN DEL SISTEMA]]="Crítico",2,12)</f>
        <v>2</v>
      </c>
      <c r="L20" s="81">
        <f>Tabla9[[#This Row],[TIEMPO PACTADO CONTRATO SISTEMA CRÍTICO t &lt;= 2h , SISTEMA NO CRÍTICO t &lt;= 12 h]]/Tabla9[[#This Row],[TIEMPO DE SOLUCIÓN]]</f>
        <v>2</v>
      </c>
      <c r="M20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0" s="69"/>
      <c r="O20" s="69"/>
      <c r="P20" s="69"/>
      <c r="Q20" s="69"/>
    </row>
    <row r="21" spans="1:17" ht="15" customHeight="1" x14ac:dyDescent="0.25">
      <c r="A21" s="76">
        <v>9</v>
      </c>
      <c r="B21" s="12" t="s">
        <v>59</v>
      </c>
      <c r="C21" s="12" t="s">
        <v>62</v>
      </c>
      <c r="D21" s="12" t="s">
        <v>47</v>
      </c>
      <c r="E21" s="77">
        <v>1</v>
      </c>
      <c r="F21" s="77"/>
      <c r="G21" s="77"/>
      <c r="H21" s="85">
        <v>43915.583333333336</v>
      </c>
      <c r="I21" s="85">
        <v>43915.625</v>
      </c>
      <c r="J21" s="79">
        <f>INT(HOUR(Tabla9[[#This Row],[FECHA DE CIERRE MESA DE AYUDA]]-Tabla9[[#This Row],[FECHA APERTURA CASO EN MESA DE AYUDA]]))</f>
        <v>1</v>
      </c>
      <c r="K21" s="80">
        <f>IF(Tabla9[[#This Row],[CLASIFICACIÓN DEL SISTEMA]]="Crítico",2,12)</f>
        <v>2</v>
      </c>
      <c r="L21" s="81">
        <f>Tabla9[[#This Row],[TIEMPO PACTADO CONTRATO SISTEMA CRÍTICO t &lt;= 2h , SISTEMA NO CRÍTICO t &lt;= 12 h]]/Tabla9[[#This Row],[TIEMPO DE SOLUCIÓN]]</f>
        <v>2</v>
      </c>
      <c r="M21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1" s="69"/>
      <c r="O21" s="69"/>
      <c r="P21" s="69"/>
      <c r="Q21" s="69"/>
    </row>
    <row r="22" spans="1:17" ht="15" customHeight="1" x14ac:dyDescent="0.25">
      <c r="A22" s="76">
        <v>9</v>
      </c>
      <c r="B22" s="12" t="s">
        <v>59</v>
      </c>
      <c r="C22" s="12" t="s">
        <v>63</v>
      </c>
      <c r="D22" s="12" t="s">
        <v>47</v>
      </c>
      <c r="E22" s="77">
        <v>2</v>
      </c>
      <c r="F22" s="77"/>
      <c r="G22" s="77"/>
      <c r="H22" s="85">
        <v>43915.583333333336</v>
      </c>
      <c r="I22" s="85">
        <v>43915.625</v>
      </c>
      <c r="J22" s="79">
        <f>INT(HOUR(Tabla9[[#This Row],[FECHA DE CIERRE MESA DE AYUDA]]-Tabla9[[#This Row],[FECHA APERTURA CASO EN MESA DE AYUDA]]))</f>
        <v>1</v>
      </c>
      <c r="K22" s="80">
        <f>IF(Tabla9[[#This Row],[CLASIFICACIÓN DEL SISTEMA]]="Crítico",2,12)</f>
        <v>2</v>
      </c>
      <c r="L22" s="81">
        <f>Tabla9[[#This Row],[TIEMPO PACTADO CONTRATO SISTEMA CRÍTICO t &lt;= 2h , SISTEMA NO CRÍTICO t &lt;= 12 h]]/Tabla9[[#This Row],[TIEMPO DE SOLUCIÓN]]</f>
        <v>2</v>
      </c>
      <c r="M22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2" s="69"/>
      <c r="O22" s="69"/>
      <c r="P22" s="69"/>
      <c r="Q22" s="69"/>
    </row>
    <row r="23" spans="1:17" ht="15" customHeight="1" x14ac:dyDescent="0.25">
      <c r="A23" s="76">
        <v>9</v>
      </c>
      <c r="B23" s="12" t="s">
        <v>59</v>
      </c>
      <c r="C23" s="12" t="s">
        <v>64</v>
      </c>
      <c r="D23" s="12" t="s">
        <v>47</v>
      </c>
      <c r="E23" s="77">
        <v>8</v>
      </c>
      <c r="F23" s="77"/>
      <c r="G23" s="77"/>
      <c r="H23" s="85">
        <v>43915.583333333336</v>
      </c>
      <c r="I23" s="85">
        <v>43915.625</v>
      </c>
      <c r="J23" s="79">
        <f>INT(HOUR(Tabla9[[#This Row],[FECHA DE CIERRE MESA DE AYUDA]]-Tabla9[[#This Row],[FECHA APERTURA CASO EN MESA DE AYUDA]]))</f>
        <v>1</v>
      </c>
      <c r="K23" s="80">
        <f>IF(Tabla9[[#This Row],[CLASIFICACIÓN DEL SISTEMA]]="Crítico",2,12)</f>
        <v>2</v>
      </c>
      <c r="L23" s="81">
        <f>Tabla9[[#This Row],[TIEMPO PACTADO CONTRATO SISTEMA CRÍTICO t &lt;= 2h , SISTEMA NO CRÍTICO t &lt;= 12 h]]/Tabla9[[#This Row],[TIEMPO DE SOLUCIÓN]]</f>
        <v>2</v>
      </c>
      <c r="M23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3" s="69"/>
      <c r="O23" s="87"/>
      <c r="P23" s="69"/>
      <c r="Q23" s="69"/>
    </row>
    <row r="24" spans="1:17" ht="15" customHeight="1" x14ac:dyDescent="0.25">
      <c r="A24" s="76">
        <v>9</v>
      </c>
      <c r="B24" s="12" t="s">
        <v>59</v>
      </c>
      <c r="C24" s="12" t="s">
        <v>65</v>
      </c>
      <c r="D24" s="12" t="s">
        <v>47</v>
      </c>
      <c r="E24" s="77">
        <v>1</v>
      </c>
      <c r="F24" s="77"/>
      <c r="G24" s="77"/>
      <c r="H24" s="85">
        <v>43915.583333333336</v>
      </c>
      <c r="I24" s="85">
        <v>43915.625</v>
      </c>
      <c r="J24" s="79">
        <f>INT(HOUR(Tabla9[[#This Row],[FECHA DE CIERRE MESA DE AYUDA]]-Tabla9[[#This Row],[FECHA APERTURA CASO EN MESA DE AYUDA]]))</f>
        <v>1</v>
      </c>
      <c r="K24" s="80">
        <f>IF(Tabla9[[#This Row],[CLASIFICACIÓN DEL SISTEMA]]="Crítico",2,12)</f>
        <v>2</v>
      </c>
      <c r="L24" s="81">
        <f>Tabla9[[#This Row],[TIEMPO PACTADO CONTRATO SISTEMA CRÍTICO t &lt;= 2h , SISTEMA NO CRÍTICO t &lt;= 12 h]]/Tabla9[[#This Row],[TIEMPO DE SOLUCIÓN]]</f>
        <v>2</v>
      </c>
      <c r="M24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4" s="69"/>
      <c r="O24" s="69"/>
      <c r="P24" s="69"/>
      <c r="Q24" s="69"/>
    </row>
    <row r="25" spans="1:17" ht="15" customHeight="1" x14ac:dyDescent="0.25">
      <c r="A25" s="76">
        <v>9</v>
      </c>
      <c r="B25" s="12" t="s">
        <v>59</v>
      </c>
      <c r="C25" s="12" t="s">
        <v>66</v>
      </c>
      <c r="D25" s="12" t="s">
        <v>47</v>
      </c>
      <c r="E25" s="77">
        <v>1</v>
      </c>
      <c r="F25" s="77"/>
      <c r="G25" s="77"/>
      <c r="H25" s="85">
        <v>43915.583333333336</v>
      </c>
      <c r="I25" s="85">
        <v>43915.625</v>
      </c>
      <c r="J25" s="79">
        <f>INT(HOUR(Tabla9[[#This Row],[FECHA DE CIERRE MESA DE AYUDA]]-Tabla9[[#This Row],[FECHA APERTURA CASO EN MESA DE AYUDA]]))</f>
        <v>1</v>
      </c>
      <c r="K25" s="80">
        <f>IF(Tabla9[[#This Row],[CLASIFICACIÓN DEL SISTEMA]]="Crítico",2,12)</f>
        <v>2</v>
      </c>
      <c r="L25" s="81">
        <f>Tabla9[[#This Row],[TIEMPO PACTADO CONTRATO SISTEMA CRÍTICO t &lt;= 2h , SISTEMA NO CRÍTICO t &lt;= 12 h]]/Tabla9[[#This Row],[TIEMPO DE SOLUCIÓN]]</f>
        <v>2</v>
      </c>
      <c r="M25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5" s="69"/>
      <c r="O25" s="69"/>
      <c r="P25" s="69"/>
      <c r="Q25" s="69"/>
    </row>
    <row r="26" spans="1:17" ht="15" customHeight="1" x14ac:dyDescent="0.25">
      <c r="A26" s="76">
        <v>9</v>
      </c>
      <c r="B26" s="12" t="s">
        <v>59</v>
      </c>
      <c r="C26" s="12" t="s">
        <v>67</v>
      </c>
      <c r="D26" s="12" t="s">
        <v>47</v>
      </c>
      <c r="E26" s="77">
        <v>1</v>
      </c>
      <c r="F26" s="77"/>
      <c r="G26" s="77"/>
      <c r="H26" s="85">
        <v>43915.583333333336</v>
      </c>
      <c r="I26" s="85">
        <v>43915.625</v>
      </c>
      <c r="J26" s="79">
        <f>INT(HOUR(Tabla9[[#This Row],[FECHA DE CIERRE MESA DE AYUDA]]-Tabla9[[#This Row],[FECHA APERTURA CASO EN MESA DE AYUDA]]))</f>
        <v>1</v>
      </c>
      <c r="K26" s="80">
        <f>IF(Tabla9[[#This Row],[CLASIFICACIÓN DEL SISTEMA]]="Crítico",2,12)</f>
        <v>2</v>
      </c>
      <c r="L26" s="81">
        <f>Tabla9[[#This Row],[TIEMPO PACTADO CONTRATO SISTEMA CRÍTICO t &lt;= 2h , SISTEMA NO CRÍTICO t &lt;= 12 h]]/Tabla9[[#This Row],[TIEMPO DE SOLUCIÓN]]</f>
        <v>2</v>
      </c>
      <c r="M26" s="8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6" s="69"/>
      <c r="O26" s="69"/>
      <c r="P26" s="69"/>
      <c r="Q26" s="69"/>
    </row>
  </sheetData>
  <mergeCells count="2">
    <mergeCell ref="A1:R1"/>
    <mergeCell ref="A2:R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Disp. CCTV</vt:lpstr>
      <vt:lpstr>Oportunidad CCTV</vt:lpstr>
      <vt:lpstr>Disponibilidad</vt:lpstr>
      <vt:lpstr>Oportunidad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Orlando Antonio Navarro Moncada</cp:lastModifiedBy>
  <dcterms:created xsi:type="dcterms:W3CDTF">2020-03-15T22:35:46Z</dcterms:created>
  <dcterms:modified xsi:type="dcterms:W3CDTF">2020-10-07T00:43:14Z</dcterms:modified>
</cp:coreProperties>
</file>