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esumedellin-my.sharepoint.com/personal/merasso_esu_com_co/Documents/Documentos/ESU/C5/EVALUACION/ANEXOS/"/>
    </mc:Choice>
  </mc:AlternateContent>
  <xr:revisionPtr revIDLastSave="121" documentId="8_{598B2EF8-A588-4C9C-BBCA-AB031B249E97}" xr6:coauthVersionLast="47" xr6:coauthVersionMax="47" xr10:uidLastSave="{575B4DB2-9B4B-4C76-9F87-17F0EF0E89CB}"/>
  <bookViews>
    <workbookView xWindow="-28920" yWindow="-120" windowWidth="29040" windowHeight="15720" tabRatio="874" activeTab="10" xr2:uid="{00000000-000D-0000-FFFF-FFFF00000000}"/>
  </bookViews>
  <sheets>
    <sheet name="Capacidad Jurídica" sheetId="15" r:id="rId1"/>
    <sheet name="Técnico-Experiencia General" sheetId="5" r:id="rId2"/>
    <sheet name="Técnico-Experiencia Específica" sheetId="11" r:id="rId3"/>
    <sheet name="Técnico-Personal" sheetId="12" r:id="rId4"/>
    <sheet name="Técnico- Cartas de fábrica" sheetId="2" r:id="rId5"/>
    <sheet name="Financiero" sheetId="13" r:id="rId6"/>
    <sheet name="Ponderables" sheetId="8" r:id="rId7"/>
    <sheet name="Precio" sheetId="9" r:id="rId8"/>
    <sheet name="Factor técnico" sheetId="1" r:id="rId9"/>
    <sheet name="Puntajes" sheetId="6" state="hidden" r:id="rId10"/>
    <sheet name="Estímulo-Discap-Empren" sheetId="10"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9" l="1"/>
  <c r="C7" i="9"/>
  <c r="B7" i="9"/>
  <c r="A14" i="15"/>
  <c r="A15" i="15"/>
  <c r="A16" i="15"/>
  <c r="A17" i="15"/>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D15" i="9"/>
  <c r="C15" i="9"/>
  <c r="D3" i="9"/>
  <c r="E3" i="9"/>
  <c r="C3" i="9"/>
  <c r="E5" i="9"/>
  <c r="D4" i="9"/>
  <c r="C4" i="9"/>
  <c r="B4" i="9"/>
  <c r="D7" i="8"/>
  <c r="D6" i="8"/>
  <c r="D5" i="8"/>
  <c r="L4" i="5"/>
  <c r="L14" i="5"/>
  <c r="G21" i="1"/>
  <c r="D21" i="1"/>
  <c r="E5" i="8"/>
  <c r="F5" i="8"/>
  <c r="E6" i="8"/>
  <c r="F6" i="8"/>
  <c r="E7" i="8"/>
  <c r="F7" i="8"/>
  <c r="G14" i="13"/>
  <c r="F14" i="13"/>
  <c r="E14" i="13"/>
  <c r="D14" i="13"/>
  <c r="C14" i="13"/>
  <c r="B14" i="13"/>
  <c r="F6" i="13"/>
  <c r="E6" i="13"/>
  <c r="D6" i="13"/>
  <c r="C6" i="13"/>
  <c r="B6" i="13"/>
  <c r="G6" i="13"/>
  <c r="C5" i="9" l="1"/>
  <c r="D5" i="9"/>
  <c r="B5" i="9"/>
  <c r="C41" i="6"/>
  <c r="B41" i="6"/>
  <c r="C50" i="6"/>
  <c r="D50" i="6" s="1"/>
  <c r="E50" i="6" s="1"/>
  <c r="F50" i="6" s="1"/>
  <c r="C47" i="6"/>
  <c r="C44" i="6"/>
  <c r="C38" i="6"/>
  <c r="C35" i="6"/>
  <c r="C32" i="6"/>
  <c r="C29" i="6"/>
  <c r="C26" i="6"/>
  <c r="C23" i="6"/>
  <c r="C20" i="6"/>
  <c r="C17" i="6"/>
  <c r="C14" i="6"/>
  <c r="C11" i="6"/>
  <c r="C8" i="6"/>
  <c r="B50" i="6"/>
  <c r="B47" i="6"/>
  <c r="B44" i="6"/>
  <c r="B38" i="6"/>
  <c r="B35" i="6"/>
  <c r="B32" i="6"/>
  <c r="B29" i="6"/>
  <c r="B26" i="6"/>
  <c r="B23" i="6"/>
  <c r="B20" i="6"/>
  <c r="B17" i="6"/>
  <c r="B14" i="6"/>
  <c r="B11" i="6"/>
  <c r="B8" i="6"/>
  <c r="C5" i="6"/>
  <c r="C2" i="6"/>
  <c r="B5" i="6"/>
  <c r="B2" i="6"/>
  <c r="C7" i="10"/>
  <c r="D12" i="9"/>
  <c r="B8" i="8"/>
  <c r="C21" i="1"/>
  <c r="C28" i="1" s="1"/>
  <c r="C12" i="9" l="1"/>
  <c r="C21" i="9"/>
  <c r="D21" i="9"/>
  <c r="F4" i="8" s="1"/>
  <c r="C6" i="9"/>
  <c r="D6" i="9"/>
  <c r="G50" i="6"/>
  <c r="H50" i="6" s="1"/>
  <c r="I50" i="6" s="1"/>
  <c r="J50" i="6" s="1"/>
  <c r="K50" i="6" s="1"/>
  <c r="L50" i="6" s="1"/>
  <c r="M50" i="6" s="1"/>
  <c r="N50" i="6" s="1"/>
  <c r="O50" i="6" s="1"/>
  <c r="P50" i="6" s="1"/>
  <c r="Q50" i="6" s="1"/>
  <c r="R50" i="6" s="1"/>
  <c r="S50" i="6" s="1"/>
  <c r="T50" i="6" s="1"/>
  <c r="U50" i="6" s="1"/>
  <c r="V50" i="6" s="1"/>
  <c r="W50" i="6" s="1"/>
  <c r="X50" i="6" s="1"/>
  <c r="Y50" i="6" s="1"/>
  <c r="Z50" i="6" s="1"/>
  <c r="AA50" i="6" s="1"/>
  <c r="AB50" i="6" s="1"/>
  <c r="AC50" i="6" s="1"/>
  <c r="AD50" i="6" s="1"/>
  <c r="AE50" i="6" s="1"/>
  <c r="AF50" i="6" s="1"/>
  <c r="AG50" i="6" s="1"/>
  <c r="C52" i="6"/>
  <c r="G22" i="1"/>
  <c r="G28" i="1" s="1"/>
  <c r="D22" i="1"/>
  <c r="D28" i="1" s="1"/>
  <c r="E3" i="8" l="1"/>
  <c r="D3" i="8"/>
  <c r="F3" i="8"/>
  <c r="E4" i="8"/>
  <c r="E8" i="8" l="1"/>
  <c r="F8" i="8" l="1"/>
  <c r="B6" i="9" l="1"/>
  <c r="B12" i="9"/>
  <c r="B21" i="9" s="1"/>
  <c r="D4" i="8" l="1"/>
  <c r="D8" i="8" s="1"/>
  <c r="B9" i="8" s="1"/>
</calcChain>
</file>

<file path=xl/sharedStrings.xml><?xml version="1.0" encoding="utf-8"?>
<sst xmlns="http://schemas.openxmlformats.org/spreadsheetml/2006/main" count="1682" uniqueCount="590">
  <si>
    <t>FECHA Y HORA DE CIERRE DEL PROCESO: 17 DE SEPTIEMBRE DE 2025 A LAS 2:00 PM</t>
  </si>
  <si>
    <t>OFERENTE 2</t>
  </si>
  <si>
    <t>OFERENTE 3</t>
  </si>
  <si>
    <t>REQUISITOS DE PARTICIPACIÓN Y HABILITACIÓN JURÍDICA</t>
  </si>
  <si>
    <t>OBSERVACIÓN</t>
  </si>
  <si>
    <t>REQUERIDO</t>
  </si>
  <si>
    <t>UNION TEMPORAL GESTIÓN INTEGRAL C5 
(2 INTEGRANTES) 
RAD 20251005956</t>
  </si>
  <si>
    <t>UNIÓN TEMPORAL SEGURIDAD VIPE 2025
(4 INTEGRANTES) 
RAD 20251005957</t>
  </si>
  <si>
    <t xml:space="preserve">FOLIO FÍSICO
N° REFOLIACIÓN ESU
</t>
  </si>
  <si>
    <t>UNION ELECTRICA S.A. (4%)
NIT: 890.937.250-6</t>
  </si>
  <si>
    <t>SEGURITECH COLOMBIA S.A.S (96%)
NIT: 901.202.687-5</t>
  </si>
  <si>
    <t>ESDRAS MD INGENIERIA  S.A.S
NIT: 900.595.482-4
(25%)</t>
  </si>
  <si>
    <t>INGENIERIA Y TELEMATICA  G&amp;C
NIT: 800.072.172-9
(25%)</t>
  </si>
  <si>
    <t xml:space="preserve">VIOTEC S.A.S
NIT: 900.317.089-1
(25%) </t>
  </si>
  <si>
    <t>PAECIA S.A.S
NIT: 890.929.487-0
(25%)</t>
  </si>
  <si>
    <t>UBICACIÓN PLIEGO</t>
  </si>
  <si>
    <t>DESCRIPCIÓN REQUISITO</t>
  </si>
  <si>
    <t>APORTADO</t>
  </si>
  <si>
    <t>3.2.1
 (ANEXO N° 1)</t>
  </si>
  <si>
    <t>Carta de presentación:</t>
  </si>
  <si>
    <t>SI</t>
  </si>
  <si>
    <t>NO</t>
  </si>
  <si>
    <t>3-5</t>
  </si>
  <si>
    <t xml:space="preserve">R. L UT Diana Carolina Lancheros Paredes
CC. 52.844.405
R.L.S UT Carlos Frank Benítez Rodríguez
CC,98.702.829
</t>
  </si>
  <si>
    <t>1055-1057</t>
  </si>
  <si>
    <t>R.L. Cesar Augusto Peñaloza Correa
CC. 10186775
R.L.S. Jorge Iván Arroyave Zapata
CC. 89009911</t>
  </si>
  <si>
    <t>3.2.2</t>
  </si>
  <si>
    <t>Copia de la cédula</t>
  </si>
  <si>
    <t>14, 16 y 18</t>
  </si>
  <si>
    <t>R.L UNIÓN ELÉCTRICA: Julio Cesar Correa Mazo
C.C. 18.464.212
R.L SEGURITECH: Diana Carolina Lancheros Paredes
CC. 52.844.405</t>
  </si>
  <si>
    <t>1059-1062</t>
  </si>
  <si>
    <t>R.L. ESDRAS: Lady Vanessa Pabón Triana
CC. 67021471
R.L: GYC: Cesar Augusto Peñaloza Correa
CC. 10186775
R.L. VIOTEC: Jorge Iván Arroyave Zapata
CC. 89009911
R.L. PAECIA: Andrés Felipe Espinosa Arango
CC. 71792037</t>
  </si>
  <si>
    <t>3.2.3</t>
  </si>
  <si>
    <t>Certificado de existencia y representación legal (Con fecha no anterior a 1 mes a la fecha del cierre).</t>
  </si>
  <si>
    <t>UE 28-38R/SC40-44REVERSO</t>
  </si>
  <si>
    <t>UE:22/08/2025
SC:05/09/2025</t>
  </si>
  <si>
    <t>ESDRAS:1065-1072
VIOTEC: 1076-1085
GYC: 1087-1098
PAECIA: 1100-1107</t>
  </si>
  <si>
    <t>ESDRAS:09/09/2025
VIOTEC: 04/09/2025
GYC:25/08/2025
PAECIA:01/09/2025</t>
  </si>
  <si>
    <t>Certificado de autorización para contratar, cuando aplique.</t>
  </si>
  <si>
    <t>Ninguna</t>
  </si>
  <si>
    <t>N/A</t>
  </si>
  <si>
    <t>UE 31/SC: 46-47</t>
  </si>
  <si>
    <t>ESDRAS:1073-1074
GYC: N/A
VIOTEC: N/A
PAECIA: N/A</t>
  </si>
  <si>
    <t>3.2.4</t>
  </si>
  <si>
    <t>Registro Único Tributario-RUT</t>
  </si>
  <si>
    <t>UE 50-54/SC 56-58</t>
  </si>
  <si>
    <r>
      <t>ESDRAS: 119
VIOTEC: 1121</t>
    </r>
    <r>
      <rPr>
        <sz val="11"/>
        <rFont val="Calibri"/>
        <family val="2"/>
        <scheme val="minor"/>
      </rPr>
      <t xml:space="preserve">
GYC: 1117
PAECIA: 1123</t>
    </r>
  </si>
  <si>
    <t>3.2.5  (ANEXO N° 3)</t>
  </si>
  <si>
    <t>Acreditación Certificación de Pagos de sistema de Seguridad Social Integral y Parafiscales</t>
  </si>
  <si>
    <t>UE 61-73/SC 75-81</t>
  </si>
  <si>
    <t>UE: Revisora fiscal
ELIANA MEJÍA BEDOYA
CC. 43115120
T.P. 181150-T
JCC: 28/08/2025
SEG: Revisor fiscal
JAVIER ISIDRO REYES PEDRAZA
CC. 80773731
T.P. 246176-T
JCC: 23/07/2025</t>
  </si>
  <si>
    <t>ESDRAS: 1135-1138
VIOTEC: 1125-1128
GYC: 1130-1133
PAECIA: 1140-1143</t>
  </si>
  <si>
    <t>ESDRAS: Revisora fiscal
Shirley Niño Camacho
CC. 29331625
TP. 95213-T
JCC14/08/2025
VIOTEC: Revisor fiscal
Wilmer Alexander Alonso Gómez
CC. 1015405577
TP. 220017-T
JCC: 05/09/2025
GYC: Revisor fiscal
Juan Carlos Martínez Borre
CC. 19752550
TP. 124605-T
JCC: 02/09/2025
PAECIA: Revisor fiscal
Horacio Guardia Machado
CC. 15401805
TP. 46089-T
JCC: 15/08/2025</t>
  </si>
  <si>
    <t>3.2.6 (+ADENDA N°3): A continuación se relacionan los códigos del 1 al 40 (ANEXO N°4)</t>
  </si>
  <si>
    <t>Registro Único de Proponentes – RUP: Para el caso de proponentes plurales, el proponente en su conjunto deberá acreditar estar inscrito en mínimo 15 de los códigos descritos.</t>
  </si>
  <si>
    <t xml:space="preserve">UNIÓN ELÉCTRICA  RUP (86-258)	
SEGURITECH     RUP(259-312)
ANEXO N°4:84-85/260-262 </t>
  </si>
  <si>
    <t xml:space="preserve">UE37/ SEG 40 
CÓDIGOS REPORTADOS
</t>
  </si>
  <si>
    <t>ESDRAS:  1149 - 1179	
G&amp;C SAS: 1181 - 1230	
VIOTEC: 1232 - 1262	
PAECIA: 1264 - 1394
ANEXO N°:1145-147</t>
  </si>
  <si>
    <t xml:space="preserve">ESDRAS:31
G&amp;C SAS:39
VIOTEC: 33
PAECIA:33 CÓDIGOS REPORTADOS
</t>
  </si>
  <si>
    <t>26121600: Cables eléctricos y accesorios</t>
  </si>
  <si>
    <t>UE(88)/SEG(266)</t>
  </si>
  <si>
    <t>ESDRAS: 1151
G&amp;C SAS: 1185
VIOTEC SAS:1233 REVERSO
PAECIA SAS: 1268</t>
  </si>
  <si>
    <t>30161500: Materiales para acabados de paredes</t>
  </si>
  <si>
    <t>UE(89)SEG(267)</t>
  </si>
  <si>
    <t>ESDRAS: 1151 REVERSO
G&amp;C SAS: 1185 REVERSO
VIOTEC SAS:1234
PAECIA SAS: 1269</t>
  </si>
  <si>
    <t>30161700: Suelos</t>
  </si>
  <si>
    <t>30162400: Muros divisorios</t>
  </si>
  <si>
    <t>30171500: Puertas</t>
  </si>
  <si>
    <t>30171600: Ventanas</t>
  </si>
  <si>
    <t>UE(89)SEG(268)</t>
  </si>
  <si>
    <t>ESDRAS: 1151 REVERSO
G&amp;C SAS: 1186
VIOTEC SAS: NA
PAECIA SAS: 1269</t>
  </si>
  <si>
    <t>301916 00: Escaleras y accesorios de andamiaje</t>
  </si>
  <si>
    <t>31211500: Pinturas y tapa poros</t>
  </si>
  <si>
    <t>ESDRAS: NA
G&amp;C SAS: 1186
VIOTEC SAS:NA
PAECIA SAS: 1270 REVERSO</t>
  </si>
  <si>
    <t>31211900: Aplicadores de pintura y accesorios</t>
  </si>
  <si>
    <t>ESDRAS:  NA
G&amp;C SAS:  NA
VIOTEC SAS: NA
PAECIA SAS: 1270 REVERSO</t>
  </si>
  <si>
    <t>39111500: Iluminación de interiores y artefactos</t>
  </si>
  <si>
    <t>UE(89)SEG(269)</t>
  </si>
  <si>
    <t>ESDRAS: 1151 REVERSO
G&amp;C SAS: 1186 REVERSO
VIOTEC SAS: NA
PAECIA SAS: 1271 REVERSO</t>
  </si>
  <si>
    <t>40101700: Enfriamiento</t>
  </si>
  <si>
    <t>UE(90)SEG(270)</t>
  </si>
  <si>
    <t>ESDRAS: 1152
G&amp;C SAS: 1187 REVERSO
VIOTEC SAS:1234 REVERSO
PAECIA SAS: 1272</t>
  </si>
  <si>
    <t>43201800: Dispositivos de almacenamiento</t>
  </si>
  <si>
    <t>UE(90)SEG(271)</t>
  </si>
  <si>
    <t>ESDRAS: 1152
G&amp;C SAS: 1188 REVERSO
VIOTEC SAS:1235
PAECIA SAS: NA</t>
  </si>
  <si>
    <t>43211700: Dispositivos informáticos de entrada de datos</t>
  </si>
  <si>
    <t>UE(90)SEG(272)</t>
  </si>
  <si>
    <t>ESDRAS: NA
G&amp;C SAS: 1188 REVERSO
VIOTEC SAS:1235
PAECIA SAS: 1273 REVERSO</t>
  </si>
  <si>
    <t>43212200: Sistemas de manejo de almacenamiento de datos de computador</t>
  </si>
  <si>
    <t>43221700: Equipo fijo de red y componentes</t>
  </si>
  <si>
    <t>ESDRAS: NA
G&amp;C SAS: 1189
VIOTEC SAS:1235 REVERSO
PAECIA SAS: 1273 REVERSO</t>
  </si>
  <si>
    <t>43222600: Equipos de servicios de red</t>
  </si>
  <si>
    <t>ESDRAS: 1152
G&amp;C SAS: 1189
VIOTEC SAS:1235 REVERSO
PAECIA SAS: 1273 REVERSO</t>
  </si>
  <si>
    <t>43223300: Dispositivos y equipos para instalación de conectividad de redes y datacom</t>
  </si>
  <si>
    <t>ESDRAS: NA
G&amp;C SAS: 1189
VIOTEC SAS:1235 REVERSO
PAECIA SAS: 1274</t>
  </si>
  <si>
    <t>43232800: Software de administración de redes</t>
  </si>
  <si>
    <t>ESDRAS: NA
G&amp;C SAS: 1189 REVERSO
VIOTEC SAS:1235 REVERSO
PAECIA SAS: NA</t>
  </si>
  <si>
    <t>43233200: Software de seguridad y protección</t>
  </si>
  <si>
    <t>45121500: Cámaras</t>
  </si>
  <si>
    <t>UE(91)SEG(273)</t>
  </si>
  <si>
    <t>ESDRAS: 1152
G&amp;C SAS: 1189 REVERSO
VIOTEC SAS:1236
PAECIA SAS: 1274</t>
  </si>
  <si>
    <t>45121600; Accesorios para cámaras</t>
  </si>
  <si>
    <t>ESDRAS: 1152
G&amp;C SAS: 1190
VIOTEC SAS:1236
PAECIA SAS: 1274</t>
  </si>
  <si>
    <t>46171600: Equipo de vigilancia y detección</t>
  </si>
  <si>
    <t>72102900: Servicios de mantenimiento y  reparación de instalaciones</t>
  </si>
  <si>
    <t>UE(91)SEG(274)</t>
  </si>
  <si>
    <t>ESDRAS: 1152 REVERSO
G&amp;C SAS: 1191
VIOTEC SAS:1236 REVERSO
PAECIA SAS: NA</t>
  </si>
  <si>
    <t>72103300: Servicios de mantenimiento y reparación de infraestructura</t>
  </si>
  <si>
    <t>ESDRAS: 1152 REVERSO
G&amp;C SAS: 1191
VIOTEC SAS:1236 REVERSO
PAECIA SAS: 1275</t>
  </si>
  <si>
    <t>72141500: Servicios de preparación de tierras</t>
  </si>
  <si>
    <t>ESDRAS: 1153
G&amp;C SAS: 1191 REVERSO
VIOTEC SAS:1235 REVERSO
PAECIA SAS: 1275 REVERSO</t>
  </si>
  <si>
    <t>72151600: Servicios de sistemas especializados</t>
  </si>
  <si>
    <t>UE(91)SEG(275)</t>
  </si>
  <si>
    <t>ESDRAS: 1153
G&amp;C SAS: 1191 REVERSO
VIOTEC SAS:1236 REVERSO
PAECIA SAS: 1275 REVERSO</t>
  </si>
  <si>
    <t>80101600: Gerencia de proyectos</t>
  </si>
  <si>
    <t>UE(92)SEG(276)</t>
  </si>
  <si>
    <t>ESDRAS: 1154
G&amp;C SAS: 1193
VIOTEC SAS:1237
PAECIA SAS: 1276 REVERSO</t>
  </si>
  <si>
    <t>81101700: Ingeniería eléctrica y electrónica</t>
  </si>
  <si>
    <t>ESDRAS: 1154
G&amp;C SAS: 1193
VIOTEC SAS:1237
PAECIA SAS: 1277</t>
  </si>
  <si>
    <t>81111500: Ingeniería de software o hardware</t>
  </si>
  <si>
    <t>ESDRAS: 1154
G&amp;C SAS: 1193
VIOTEC SAS:1237 REVERSO
PAECIA SAS: NA</t>
  </si>
  <si>
    <t>81111800: Servicios de sistema y administración</t>
  </si>
  <si>
    <t>ESDRAS: 1154
G&amp;C SAS: 1193 REVERSO
VIOTEC SAS:1237 REVERSO
PAECIA SAS: 1277</t>
  </si>
  <si>
    <t>81112200: Mantenimiento y  soporte de software</t>
  </si>
  <si>
    <t>ESDRAS: NA
G&amp;C SAS: 1193 REVERSO
VIOTEC SAS:123 67 REVERSO
PAECIA SAS: NA</t>
  </si>
  <si>
    <t>92121700: Servicios de sistemas de seguridad</t>
  </si>
  <si>
    <t>UE(92)SEG(277)</t>
  </si>
  <si>
    <t>ESDRAS: 1154 REVERSO
G&amp;C SAS: 1194
VIOTEC SAS:1237 REVERSO
PAECIA SAS: NA</t>
  </si>
  <si>
    <t>72121400: Servicios de construcción  de edificios públicos especializados</t>
  </si>
  <si>
    <t>UE(96)SEG(274)</t>
  </si>
  <si>
    <t>ESDRAS: 1152 REVERSO
G&amp;C SAS: 1191 REVERSO
VIOTEC SAS:1236 REVERSO
PAECIA SAS: 1275 REVERSO</t>
  </si>
  <si>
    <t>72141100: Servicios de pavimentación y superficies de edificios de infraestructura</t>
  </si>
  <si>
    <t>72121000: Servicios de construcción de edificios industriales y bodegas nuevas</t>
  </si>
  <si>
    <t>SEG(274)</t>
  </si>
  <si>
    <t>ESDRAS: 1152 REVERSO
G&amp;C SAS: 1191 REVERSO
VIOTEC SAS:NA
PAECIA SAS: 1275</t>
  </si>
  <si>
    <t>72121100: Servicios de construcción de edificios comerciales y de oficina</t>
  </si>
  <si>
    <t xml:space="preserve">ESDRAS: 1152 REVERSO
G&amp;C SAS: 1191 REVERSO
VIOTEC SAS:1236 REVERSO
PAECIA SAS: 1275 </t>
  </si>
  <si>
    <t>72151200: Servicios de construcción y mantenimiento de HVAC calefacción y enfriamiento y aire acondicionado</t>
  </si>
  <si>
    <t>ESDRAS: 1153
G&amp;C SAS: 1191 REVERSO
VIOTEC SAS:NA
PAECIA SAS: 1275 REVERSO</t>
  </si>
  <si>
    <t>72151300: Servicios de pintura e instalación de papel de colgadura</t>
  </si>
  <si>
    <t>SEG(275)</t>
  </si>
  <si>
    <t>72151400: Servicios de construcción de recubrimientos de muros</t>
  </si>
  <si>
    <t>72151500: Servicios de sistemas eléctricos</t>
  </si>
  <si>
    <t>3.2.8 (+ADENDA N°3)</t>
  </si>
  <si>
    <t>Garantía para cubrir los riesgos derivados del incumplimiento del ofrecimiento: Se deberá anexar garantía de seriedad de la propuesta, a favor de la “EMPRESA PARA LA SEGURIDAD Y SOLUCIONES URBANAS – ESU”, con NIT. 890.984.761-8, constituida ante una compañía de seguros o entidad bancaria legalmente establecida en Colombia, o patrimonio autónomo, y que contenga los siguientes aspectos:
● Valor asegurado: Equivalente al diez por ciento (10%) del presupuesto oficial correspondiente a la primera orden de compra, esto es $180.996.349.096
● Vigencia: Tres (3) meses, contados a partir de la fecha de cierre del proceso contractual.
● Tomador y/o afianzado: La garantía deberá tomarse con el nombre o razón social que figura en el Certificado de Existencia y Representación Legal expedido por la Cámara de Comercio.
● Asegurado y beneficiario: Empresa para la Seguridad y Soluciones Urbanas – ESU.
Objeto y numero del proceso.
● Firmas del tomador y de la aseguradora que la expide.</t>
  </si>
  <si>
    <t>314-327</t>
  </si>
  <si>
    <t>N° PÓLIZA: 18-44-101108882
SEGUROS DEL ESTADO S.A.
VALOR: $18.099.634.909,60
VIGENCIA: DEL 10/09/2025 AL 31/12/2025
COASEGURO: 
SEGUROS DEL ESTADO S.A. 50%
COMPAÑÍA MUNDIAL DE SEGUROS S.A. 50%
Póliza verificada en https:https://consultapoliza.segurosdelestado.com/consultapoliza/</t>
  </si>
  <si>
    <t>1441-1473</t>
  </si>
  <si>
    <t>N° PÓLIZA:NB-100404363
COMPAÑÍA MUNDIAL DE SEGUROS S.A. 
VALOR $18.099.634.909,60
VIGENCIA:  DEL 15/09/2025 AL 30/12/2025 (ANEXO 4)
COASEGURO:
BERKLEY INTERNATIONAL SEGUROS COLOMBIA S.A. 50%
COMPAÑÍA MUNDIAL DE SEGUROS S.A. 50%
https://productos.mundialseguros.com.co/</t>
  </si>
  <si>
    <t>3.2.9</t>
  </si>
  <si>
    <t>Aval de la propuesta: Profesional en Ingeniería eléctrica, electrónica, sistemas, telemática, informática, telecomunicaciones y afines/Ingeniería civil</t>
  </si>
  <si>
    <t>3-11/330-336</t>
  </si>
  <si>
    <t xml:space="preserve">Diego Alberto Osorio Benítez
CC.70.085.746
Ingeniero Civil
T.P  N° 05202-58961
Vigencia: 02/09/2025
Lucas Toro Morales
CC. 71270457
Ingeniero Electrónico
T.P  N° AN206-96710
Vigencia: 02/09/2025 seis (6) meses </t>
  </si>
  <si>
    <t>1055-1057/1475-1480</t>
  </si>
  <si>
    <t xml:space="preserve">
Cesar Augusto Peñaloza Correa
CC.10186775
Ingeniero Electrónico
T.P  CN206-54885
Vigencia: 07/06/2025
Angie Paola Urrego Durango
CC. 1001140303
Ingeniero Civil
M.P 011037-06499292
Vigencia: 15/08/2025</t>
  </si>
  <si>
    <t>3.2.10</t>
  </si>
  <si>
    <t>Certificado de Procuraduría General de la Nación (Con fecha no anterior a 1 mes de la fecha del cierre).</t>
  </si>
  <si>
    <t>UE: 433-434
SC: 436-437</t>
  </si>
  <si>
    <t>UE: 01/09/2025
SC: 01/09/2025</t>
  </si>
  <si>
    <t>ESDRAS: 1415-1416
G&amp;C SAS:1407-1408
VIOTEC SAS: 1399-1400
PAECIA SAS:  1423-1424</t>
  </si>
  <si>
    <t>ESDRAS: 05/09/2025
G&amp;C SAS: 01/09/2025
VIOTEC SAS: 01/09/2025
PAECIA SAS: 05-04/09/2025</t>
  </si>
  <si>
    <t>3.2.11</t>
  </si>
  <si>
    <t>Certificado de Contraloría General de la Nación (Con fecha no anterior a 1 mes de la fecha del cierre).</t>
  </si>
  <si>
    <t>UE:  424-425
SC: 427-428</t>
  </si>
  <si>
    <t>ESDRAS: 1413-1414
G&amp;C SAS: 1405-1406
VIOTEC SAS: 1397-1398
PAECIA SAS: 1421-1422</t>
  </si>
  <si>
    <t>ESDRAS: 05/09/2025
G&amp;C SAS: 25/08/2025
VIOTEC SAS: 25/08/2025
PAECIA SAS: 05-04/09/2025</t>
  </si>
  <si>
    <t>3.2.12</t>
  </si>
  <si>
    <t>Certificado de antecedentes judiciales (Con fecha no anterior a 1 mes de la fecha del cierre).</t>
  </si>
  <si>
    <t>UE: 442
SC: 444</t>
  </si>
  <si>
    <t>ESDRAS: 1417
G&amp;C SAS: 1409
VIOTEC SAS: 1401
PAECIA SAS: 1425</t>
  </si>
  <si>
    <t>ESDRAS: 05/09/2025
G&amp;C SAS: 25/08/2025
VIOTEC SAS: 25/08/2025
PAECIA SAS: 04/09/2025</t>
  </si>
  <si>
    <t>3.2.13</t>
  </si>
  <si>
    <t>Certificado del Registro Nacional de Medidas Correctivas-RNMC, donde conste que a la persona o representante legal no le han sido impuestas multas por infracción del Código de Policía o, si presenta multas (Con fecha no anterior a 1 mes de la fecha del cierre).</t>
  </si>
  <si>
    <t>UE: 449-450
SC: 452-453</t>
  </si>
  <si>
    <t>UE: 02-01/09/2025
SC: 01/09/2025</t>
  </si>
  <si>
    <t>ESDRAS: 1418-1419
G&amp;C SAS: 1410-1411
VIOTEC SAS: 1404-1403
PAECIA SAS: 1426-1427</t>
  </si>
  <si>
    <t>3.2.14</t>
  </si>
  <si>
    <t>Certificado de la Consulta de Inhabilidades de la Ley 1918 de 2018 y Decreto 753 de 2019 del representante legal de la empresa (Con fecha no anterior a 1 mes de la fecha del cierre).</t>
  </si>
  <si>
    <t>UE: 378
SC: 380</t>
  </si>
  <si>
    <t>UE: 01/09/2025
SC: 04/09/2025</t>
  </si>
  <si>
    <t>ESDRAS: 1485
G&amp;C SAS: 1482
VIOTEC SAS: 1483
PAECIA SAS: 1484</t>
  </si>
  <si>
    <t>ESDRAS: 05/09/2025
G&amp;C SAS: 25/08/2025
VIOTEC SAS: 25/08/2025
PAECIA SAS: 09/09/2025</t>
  </si>
  <si>
    <t>3.2.15 (ANEXO 5)</t>
  </si>
  <si>
    <t>Documentación para acreditar la implementación del sistema de gestión de seguridad en el trabajo (SG-SST): encontrándose una calificación Aceptable (85%)</t>
  </si>
  <si>
    <t>Evaluación satisfactoria</t>
  </si>
  <si>
    <t>381-419</t>
  </si>
  <si>
    <t>1486-1613</t>
  </si>
  <si>
    <t>3.2.21</t>
  </si>
  <si>
    <t>Certificado Registro de Deudores Alimentarios Morosos- REDAM (Con fecha no anterior a 30 días calendario 19/08/2025).</t>
  </si>
  <si>
    <t>UE: 468
SC: 470</t>
  </si>
  <si>
    <t>UE: 01/09/2025
SC: 23/08/2025</t>
  </si>
  <si>
    <t>ESDRAS: 1617
G&amp;C SAS: 1618
VIOTEC SAS: 1615
PAECIA SAS: 1616</t>
  </si>
  <si>
    <t>ESDRAS: 05/09/2025
G&amp;C SAS: 25/08/2025
VIOTEC SAS: 25/08/2025
PAECIA SAS: 02/09/2025</t>
  </si>
  <si>
    <t>3.2.22 (ANEXO N° 24)</t>
  </si>
  <si>
    <t xml:space="preserve">Formato de autorización de tratamiento de datos personales conforme a la ley 1581 de 2012 y el decreto 1074 de 2015  </t>
  </si>
  <si>
    <t>UE: 476-478
SC: 480-481</t>
  </si>
  <si>
    <t>ESDRAS: 1628-1629
G&amp;C SAS: 1620-1622
VIOTEC SAS: 1623-1625
PAECIA SAS: 1626-1627</t>
  </si>
  <si>
    <t>3.2.23</t>
  </si>
  <si>
    <t>Certificado de Reciprocidad: Si el proponente es extranjero, podrá aportar el certificado de reciprocidad conforme a lo establecido en el artículo 20 de la Ley 80 de 1993.</t>
  </si>
  <si>
    <t>NA</t>
  </si>
  <si>
    <t>3.2.24</t>
  </si>
  <si>
    <t>Diligenciar ANEXO N° 6 CERTIFICADO DE INHABILIDADES E INCOMPATIBILIDADES</t>
  </si>
  <si>
    <t>UE: 486
SC: 488</t>
  </si>
  <si>
    <t>ESDRAS: 1632
G&amp;C SAS: 1633
VIOTEC SAS: 1631
PAECIA SAS: 1634</t>
  </si>
  <si>
    <t>3.2.25 (+ADENDA N°3)</t>
  </si>
  <si>
    <t>Registro de productores y comercializadores de equipos tecnológicos para la vigilancia y seguridad privada, así:
Los oferentes deberán aportar copia de la Resolución de inscripción en el Registro de Productores y Comercializadores de Equipos Tecnológicos para la Vigilancia y Seguridad Privada en las secciones de: instalación y comercialización: El certificado de Multas y Sanciones vigente deberá ser presentado por el oferente adjudicatario en el cual conste que no registra multas o sanciones impuestas por parte de la Superintendencia de Vigilancia y Seguridad Privada.
En caso de que se trate de consorcios o uniones temporales o cualquier otro tipo de forma asociativa, la copia de la Resolución de inscripción en el registro de Productores o Comercializadores de Equipos tecnológicos para la Vigilancia y Seguridad Privada en las secciones de instalación y comercialización deberá ser aportado por uno de los integrantes del consorcio, unión temporal o forma asociativa.</t>
  </si>
  <si>
    <t>SC: 490-493</t>
  </si>
  <si>
    <t>ESDRAS: N/A
G&amp;C SAS: 1860-1862 
VIOTEC SAS: 1863-1869 
PAECIA SAS: N/A</t>
  </si>
  <si>
    <t>3.3.5</t>
  </si>
  <si>
    <t>El participante deberá acreditar por lo menos cinco (5) años de trayectoria en el mercado, a través de la fecha de la matricula del registro mercantil sede principal. ASI mismo deberá diligenciar el ANEXO N°-11 TRAYECTORIA. En caso de que el oferente se presente como consorcio o unión temporal o cualquier forma asociativa, cada uno de los que conforman la misma, deberá acreditar este requisito (ANEXO N°-11)</t>
  </si>
  <si>
    <t>UE 645,646-656 (22/08/2025)
SC:658,659-663 (5/09/2025)</t>
  </si>
  <si>
    <t>ESDRAS: 1874
G&amp;C SAS: 1872
VIOTEC SAS: 1871
PAECIA SAS: 1873</t>
  </si>
  <si>
    <t>3.3.6</t>
  </si>
  <si>
    <t>Cumplimiento compra publica innovadora, sostenible y socialmente responsable:</t>
  </si>
  <si>
    <t>666-676</t>
  </si>
  <si>
    <t>1876-1880</t>
  </si>
  <si>
    <t>ANEXO N°12 - COMPRA PÚBLICA INNOVADORA.</t>
  </si>
  <si>
    <t>666,670,674</t>
  </si>
  <si>
    <t>ANEXO N°13- COMPRA PÚBLICA SOSTENIBLE.</t>
  </si>
  <si>
    <t>667,671,675</t>
  </si>
  <si>
    <t>ANEXO N°14-COMPRA PÚBLICA SOCIALMENTE RESPONSABLE.</t>
  </si>
  <si>
    <t>668,672,676</t>
  </si>
  <si>
    <t>ANEXO N° 22-CONFORMACIÓN DE PROPONENTE PRURAL</t>
  </si>
  <si>
    <t>21-26</t>
  </si>
  <si>
    <t>1109-1114</t>
  </si>
  <si>
    <t xml:space="preserve">RESULTADO </t>
  </si>
  <si>
    <t>HABILITADO</t>
  </si>
  <si>
    <t>UT Ci2 - SP Ingenieria &amp; Constructores</t>
  </si>
  <si>
    <t xml:space="preserve">Observacion </t>
  </si>
  <si>
    <t>UNION TEMPORAL GESTION INTEGRAL C5</t>
  </si>
  <si>
    <t>UNON TEMPORAL SEGURIDAD VIPE 2025</t>
  </si>
  <si>
    <t>ITEM</t>
  </si>
  <si>
    <t>Experiencia General del Proponente</t>
  </si>
  <si>
    <t xml:space="preserve">FOLIO </t>
  </si>
  <si>
    <t>RUP () SEGURITECH COLOMBIA SAS</t>
  </si>
  <si>
    <t>RUP (9) UNION ELECTRICA SA</t>
  </si>
  <si>
    <t>SMMLV</t>
  </si>
  <si>
    <t xml:space="preserve">RUP (32) VIOTEC SAS </t>
  </si>
  <si>
    <t xml:space="preserve">RUP (20-46-48) INGENIERIA Y TELEMATICA  G&amp;C </t>
  </si>
  <si>
    <t>RUP (80) ESDRAS MD INGENIERIA  SAS</t>
  </si>
  <si>
    <t>RUP (34) PAECIA SAS</t>
  </si>
  <si>
    <t>3.3.2</t>
  </si>
  <si>
    <t>Experiencia específica en implementación de complejos de seguridad</t>
  </si>
  <si>
    <r>
      <t xml:space="preserve">Con el fin de validar la experiencia en las actividades esenciales del contrato, el proponente deberá cumplir, a través de las certificaciones aportadas como requisito habilitante general, con las siguientes condiciones mínimas: (ANEXO N° 8 - RELACIÓN DE EXPERIENCIA ESPECÍFICA)
Un mismo contrato deberá incluir la totalidad de las actividades de construcción y/o implementación </t>
    </r>
    <r>
      <rPr>
        <sz val="11"/>
        <color rgb="FFFF0000"/>
        <rFont val="Calibri"/>
        <family val="2"/>
      </rPr>
      <t>y/o adecuación</t>
    </r>
    <r>
      <rPr>
        <sz val="11"/>
        <color rgb="FF000000"/>
        <rFont val="Calibri"/>
        <family val="2"/>
      </rPr>
      <t xml:space="preserve"> de un centro de comando y control para seguridad ciudadana y/o centro de emergencia y seguridad para la seguridad ciudadana y/o centro de monitoreo para la seguridad ciudadana</t>
    </r>
    <r>
      <rPr>
        <sz val="11"/>
        <color rgb="FFFF0000"/>
        <rFont val="Calibri"/>
        <family val="2"/>
      </rPr>
      <t xml:space="preserve"> y/o sala de control para la seguridd ciudadana</t>
    </r>
    <r>
      <rPr>
        <sz val="11"/>
        <color rgb="FF000000"/>
        <rFont val="Calibri"/>
        <family val="2"/>
      </rPr>
      <t xml:space="preserve"> que dentro de su alcance de obra incluya como mínimo</t>
    </r>
  </si>
  <si>
    <t>si</t>
  </si>
  <si>
    <t>530-533</t>
  </si>
  <si>
    <t>1696-1794</t>
  </si>
  <si>
    <t>Sala de visualización</t>
  </si>
  <si>
    <t>Puestos de trabajo y/o muebles y/o módulos para mínimo 40 operadores</t>
  </si>
  <si>
    <t>Sala de crisis</t>
  </si>
  <si>
    <t>Sala de reuniones y/o salas de capacitación y entrenamiento</t>
  </si>
  <si>
    <t>Sistema de CCTV que incluya como mínimo 30 cámaras</t>
  </si>
  <si>
    <t>Talanqueras de acceso vehicular y/o control de acceso vehicular con reconocimiento de placas</t>
  </si>
  <si>
    <t>Sistema de control de acceso</t>
  </si>
  <si>
    <t>Red de voz y datos</t>
  </si>
  <si>
    <t>Iluminación de emergencia</t>
  </si>
  <si>
    <t>Equipos activos de networking y/o Swichtes</t>
  </si>
  <si>
    <t>Estaciones de trabajo</t>
  </si>
  <si>
    <t>Sistema de respaldo de energía (UPS y planta eléctrica)</t>
  </si>
  <si>
    <t>Sistema de detección y extinción de incendios</t>
  </si>
  <si>
    <t>Sistema de visualización en gran formato tipo Videowall de mínimo 12 metros X 2 metros y/o arreglo de mínimo 40 monitores</t>
  </si>
  <si>
    <t>VMS: Certificar el suministro e instalación de una solución de gestión de video y/o sistema de administración de video y/o Sistema de automatización BMS (Bulding Managment System).</t>
  </si>
  <si>
    <t>Enlace de comunicación inalámbrica de punto a punto y/o enlace de microondas Trunking</t>
  </si>
  <si>
    <t>Equipos activos de comunicaciones que provea como mínimo 500 puntos de red 10/100/1000</t>
  </si>
  <si>
    <t>comunicaciones de Fibra Óptica</t>
  </si>
  <si>
    <t>Iluminación: Mínimo 200 luminarias</t>
  </si>
  <si>
    <r>
      <t>Datacenter: Certificar la construcción y/o adecuación de un Datacenter de un área mínima de</t>
    </r>
    <r>
      <rPr>
        <sz val="11"/>
        <color rgb="FFFF0000"/>
        <rFont val="Calibri"/>
        <family val="2"/>
      </rPr>
      <t xml:space="preserve"> 20</t>
    </r>
    <r>
      <rPr>
        <sz val="11"/>
        <color rgb="FF000000"/>
        <rFont val="Calibri"/>
        <family val="2"/>
      </rPr>
      <t xml:space="preserve"> m2</t>
    </r>
  </si>
  <si>
    <t>Sistema de respaldo ininterrumpido de potencia UPS</t>
  </si>
  <si>
    <t>Subestación Eléctrica</t>
  </si>
  <si>
    <t>Aire Acondicionado de confort</t>
  </si>
  <si>
    <t>Aire acondicionado de precisión</t>
  </si>
  <si>
    <r>
      <t>Nota 1: Para la acreditación de la experiencia habilitante específica, el contrato debe estar inscrito en el RUP, como</t>
    </r>
    <r>
      <rPr>
        <sz val="11"/>
        <color rgb="FFFF0000"/>
        <rFont val="Calibri"/>
        <family val="2"/>
      </rPr>
      <t xml:space="preserve"> mínimo dos (2) </t>
    </r>
    <r>
      <rPr>
        <sz val="11"/>
        <color rgb="FF000000"/>
        <rFont val="Calibri"/>
        <family val="2"/>
      </rPr>
      <t>de los siguientes códigos UNSPSC</t>
    </r>
  </si>
  <si>
    <t>UNSPSC</t>
  </si>
  <si>
    <t>Iluminació n de interióres y artefactós</t>
  </si>
  <si>
    <t>Cámaras</t>
  </si>
  <si>
    <t>Equipó de vigilancia y detección</t>
  </si>
  <si>
    <t>Serviciós de sistemas de seguridad</t>
  </si>
  <si>
    <t>Servició de cónstrucció n de serviciós pu blicós especializadós</t>
  </si>
  <si>
    <t>EXPERIENCIA HABILITANTE</t>
  </si>
  <si>
    <t>RUP (1) SEGURITECH COLOMBIA SAS</t>
  </si>
  <si>
    <t>ALARMAR</t>
  </si>
  <si>
    <t>ATLAS SEGURIDAD</t>
  </si>
  <si>
    <t>CABLETRONICS S.A.S</t>
  </si>
  <si>
    <t>CI2</t>
  </si>
  <si>
    <t>CORTE INGLES</t>
  </si>
  <si>
    <t>ENERGIZANDO INGENIERIA Y CONSTRUCCIÓN</t>
  </si>
  <si>
    <t>G4S - SECURE SOLUTIONS COLOMBIA S.A.</t>
  </si>
  <si>
    <t>INDRA DE COLOMBIA S.A.S</t>
  </si>
  <si>
    <t>INSITEL</t>
  </si>
  <si>
    <t>ISEC</t>
  </si>
  <si>
    <t>MELTEC COMUNICACIONES S.A</t>
  </si>
  <si>
    <t xml:space="preserve">NEC DE COLOMBIA </t>
  </si>
  <si>
    <t>PROSEGUR</t>
  </si>
  <si>
    <t>SITECSYS</t>
  </si>
  <si>
    <t xml:space="preserve">SONDA DE COLOMBIA </t>
  </si>
  <si>
    <t>TIC COLOMBIA S.A.S</t>
  </si>
  <si>
    <t xml:space="preserve">CURACAO DE COLOMBIA </t>
  </si>
  <si>
    <t>SECURITY VIDEO EQUIPMENT</t>
  </si>
  <si>
    <t>SEGURITECH</t>
  </si>
  <si>
    <t>ITELCA</t>
  </si>
  <si>
    <t>CIS</t>
  </si>
  <si>
    <t>Experiencia General Habilitante</t>
  </si>
  <si>
    <r>
      <t xml:space="preserve">experiencia en mínimo uno (1) y máximo </t>
    </r>
    <r>
      <rPr>
        <sz val="11"/>
        <color rgb="FFFF0000"/>
        <rFont val="Calibri"/>
        <family val="2"/>
        <scheme val="minor"/>
      </rPr>
      <t>cuatro  (4</t>
    </r>
    <r>
      <rPr>
        <sz val="11"/>
        <color theme="1"/>
        <rFont val="Calibri"/>
        <family val="2"/>
        <scheme val="minor"/>
      </rPr>
      <t xml:space="preserve">) contratos certificados en papel membrete ejecutados y terminados, por un valor que sumado sea igual o superior al </t>
    </r>
    <r>
      <rPr>
        <sz val="11"/>
        <color rgb="FFFF0000"/>
        <rFont val="Calibri"/>
        <family val="2"/>
        <scheme val="minor"/>
      </rPr>
      <t>70% del presupuesto oficial inicial, esto es OCHENTA Y NUEVE MIL (89.000) SMMLV</t>
    </r>
    <r>
      <rPr>
        <sz val="11"/>
        <color theme="1"/>
        <rFont val="Calibri"/>
        <family val="2"/>
        <scheme val="minor"/>
      </rPr>
      <t>, cuyo objeto y/o alcance y/o actividades estén relacionados con lo siguiente</t>
    </r>
  </si>
  <si>
    <t>1616-1756</t>
  </si>
  <si>
    <t>3.3.1.1</t>
  </si>
  <si>
    <t>Experiencia en implementación complejos de seguridad</t>
  </si>
  <si>
    <t>El proponente deberá acreditar la experiencia general con la presentación de una (1) certificación de contratos con entidades públicas, iniciados y terminados dentro de los últimos 15 años,</t>
  </si>
  <si>
    <r>
      <t xml:space="preserve">cuyo objeto y/o alcance y/o actividades incluya la implementación y/o construcción y puesta en funcionamiento de: Centros de comando y control para seguridad ciudadana y/o centros de emergencia y seguridad para seguridad ciudadana y/o centros de monitoreo para seguridad ciudadana </t>
    </r>
    <r>
      <rPr>
        <sz val="11"/>
        <color rgb="FFFF0000"/>
        <rFont val="Calibri"/>
        <family val="2"/>
        <scheme val="minor"/>
      </rPr>
      <t>y</t>
    </r>
  </si>
  <si>
    <t xml:space="preserve">si </t>
  </si>
  <si>
    <r>
      <t xml:space="preserve">que no sea inferior a </t>
    </r>
    <r>
      <rPr>
        <sz val="11"/>
        <color rgb="FFFF0000"/>
        <rFont val="Calibri"/>
        <family val="2"/>
        <scheme val="minor"/>
      </rPr>
      <t>15.000</t>
    </r>
    <r>
      <rPr>
        <sz val="11"/>
        <color theme="1"/>
        <rFont val="Calibri"/>
        <family val="2"/>
        <scheme val="minor"/>
      </rPr>
      <t xml:space="preserve"> SMMLV, </t>
    </r>
  </si>
  <si>
    <t>la cual deberá estar debidamente registrada en el Registro Único de Proponentes-RUP.</t>
  </si>
  <si>
    <t>3.3.1.2</t>
  </si>
  <si>
    <t>Experiencia en Construcción de Edificaciones institucionales de alta complejidad</t>
  </si>
  <si>
    <t>El proponente deberá acreditar la experiencia general con la presentación de una (1) certificación de contratos con entidades públicas y/o privadas tales como Hospitales, colegios, centros comerciales, cetro de comando y control, c3, c4, c5,</t>
  </si>
  <si>
    <t>503-526</t>
  </si>
  <si>
    <t>iniciados y terminados dentro de los últimos 15 años,</t>
  </si>
  <si>
    <t>cuyo objeto y/o alcance y/o actividades incluya la construcción y/o adecuación de edificios institucionales de alta complejidad públicos y/o privados</t>
  </si>
  <si>
    <r>
      <t xml:space="preserve">y que no sea inferior a </t>
    </r>
    <r>
      <rPr>
        <sz val="11"/>
        <color theme="5"/>
        <rFont val="Calibri"/>
        <family val="2"/>
        <scheme val="minor"/>
      </rPr>
      <t>30000</t>
    </r>
    <r>
      <rPr>
        <sz val="11"/>
        <color theme="1"/>
        <rFont val="Calibri"/>
        <family val="2"/>
        <scheme val="minor"/>
      </rPr>
      <t xml:space="preserve"> SMMLV</t>
    </r>
  </si>
  <si>
    <t>SMMLV, la cual deberá estar debidamente registrada en el Registro Único de Proponentes-RUP.</t>
  </si>
  <si>
    <t>3.3.1.3</t>
  </si>
  <si>
    <t>Experiencia en Construcción en metros cuadrados</t>
  </si>
  <si>
    <t>El proponente deberá acreditar la experiencia general con la presentación de una (1) certificación de un contrato iniciado y terminado dentro de los últimos 15 años</t>
  </si>
  <si>
    <t>y que incluya que la construcción en metros cuadrados construidos sea mínima de trece mil 13.000m2.</t>
  </si>
  <si>
    <t>13311,09m2</t>
  </si>
  <si>
    <t>13205,79m2</t>
  </si>
  <si>
    <t>CUMPLE</t>
  </si>
  <si>
    <t>3.3.3</t>
  </si>
  <si>
    <t>PERSONAL MÍNIMO REQUERIDO</t>
  </si>
  <si>
    <t>3.3.3.1</t>
  </si>
  <si>
    <t>Director General de Proyectos y operaciones:</t>
  </si>
  <si>
    <t>UT1</t>
  </si>
  <si>
    <t>Folios</t>
  </si>
  <si>
    <t>Formación Profesional y Certificaciones:
Ingeniero Civil y/o Ingeniero Electrónico y/o Ingeniero Electricista y/o Ingeniero de Sistemas y/o Ingeniero Electromecánico.</t>
  </si>
  <si>
    <t>537-554</t>
  </si>
  <si>
    <t>1776-1792</t>
  </si>
  <si>
    <t>Deberá contar con especialización y/o maestría en Gerencia de Proyectos y/o Gestión de Proyectos y/o Magister en Ingeniería Civil</t>
  </si>
  <si>
    <r>
      <t xml:space="preserve">Deberá contar con certificación SCRUM MASTER </t>
    </r>
    <r>
      <rPr>
        <sz val="11"/>
        <color rgb="FFFF0000"/>
        <rFont val="Calibri"/>
        <family val="2"/>
        <scheme val="minor"/>
      </rPr>
      <t>y/o</t>
    </r>
    <r>
      <rPr>
        <sz val="11"/>
        <color theme="1"/>
        <rFont val="Calibri"/>
        <family val="2"/>
        <scheme val="minor"/>
      </rPr>
      <t xml:space="preserve">  PMP vigente </t>
    </r>
    <r>
      <rPr>
        <sz val="11"/>
        <color rgb="FFFF0000"/>
        <rFont val="Calibri"/>
        <family val="2"/>
        <scheme val="minor"/>
      </rPr>
      <t xml:space="preserve"> y/o especializacion en gerencia de proyectos</t>
    </r>
  </si>
  <si>
    <t>Experiencia General:
Acreditar experiencia general no menor de quince (15) años, contada entre la fecha de expedición de la matrícula profesional y la fecha de presentación de ofertas del presente proceso.
Para efectos de acreditación de la experiencia general se deberá aportar copia de la tarjeta profesional y del certificado de vigencia de la matricula profesional</t>
  </si>
  <si>
    <t>Experiencia Específica:
Acreditar experiencia específica no menor a diez (10) años como Director de Proyectos y/o Gerente de Proyectos y/o Director de Operaciones y/o Gerente de Operaciones.
Para tal fin deberá presentar los certificados expedidos por las empresas contratantes, en las que acredite el requisito y la hoja de vida vigente.</t>
  </si>
  <si>
    <t>11,79 años</t>
  </si>
  <si>
    <t>Consentimiento del personal:
Deberá aportar una carta de intención suscrita por la persona que acredita el requisito, donde certifican que tienen interés en realizar las actividades propias del contrato y conocen las implicaciones y actividades a desarrollar.</t>
  </si>
  <si>
    <t>3.3.3.2</t>
  </si>
  <si>
    <t>Director de Tecnología: (evaludado desde el formato de experiencia)</t>
  </si>
  <si>
    <t>Formación Profesional y Certificaciones:
Ingeniero Electrónico y/o Ingeniero Electricista y/o Ingeniero de Sistemas y/o Electromecánico y/o afines</t>
  </si>
  <si>
    <t>556-625</t>
  </si>
  <si>
    <t>1793-1832</t>
  </si>
  <si>
    <t>Deberá contar con Certificación PMP Vigente.</t>
  </si>
  <si>
    <t>Experiencia Específica:
Acreditar experiencia específica como Director de Tecnología y/o Gerente de Tecnología y/o Director de Proyectos y/o Gerente de Proyectos en mínimo cinco (5) proyectos de tecnología de seguridad ciudadana, los cuales contemplen</t>
  </si>
  <si>
    <t>si (8)</t>
  </si>
  <si>
    <t>si (6)</t>
  </si>
  <si>
    <t>la construcción</t>
  </si>
  <si>
    <t>y/o implementación de sistemas de seguridad electrónica</t>
  </si>
  <si>
    <t>y/o sistema de 123</t>
  </si>
  <si>
    <t>y/o sistemas integrados de emergencia y seguridad</t>
  </si>
  <si>
    <t>y/o Salas de Monitoreo</t>
  </si>
  <si>
    <t>y/o Centros de Comando y Control</t>
  </si>
  <si>
    <t>3.3.3.3</t>
  </si>
  <si>
    <t>Profesional responsable de SG-SST (evaludado desde el formato de experiencia)</t>
  </si>
  <si>
    <t>Formación Profesional y Certificaciones:
Profesional o profesional especializado en Salud y Seguridad en el trabajo SST con Licencia en Seguridad y Salud en el Trabajo vigente</t>
  </si>
  <si>
    <t>577-587</t>
  </si>
  <si>
    <t>1833-1857</t>
  </si>
  <si>
    <t>y el curso de capacitación virtual de cincuenta (50) y/o veinte (20) horas.</t>
  </si>
  <si>
    <t>Experiencia General:
Acreditar experiencia general mínima de dos (2) años contados a partir de la obtención del título como Profesional o profesional especializado en Salud y Seguridad en el trabajo SST.
Para efectos de acreditación de la experiencia general deberá presentar los certificados que acrediten el requisito y la hoja de vida vigente.</t>
  </si>
  <si>
    <r>
      <t xml:space="preserve">Experiencia Específica:
Deberá certificar al menos un (1) proyecto donde se haya trabajado panoramas de riesgo y gestión de incidentes para </t>
    </r>
    <r>
      <rPr>
        <sz val="11"/>
        <color rgb="FFFF0000"/>
        <rFont val="Calibri"/>
        <family val="2"/>
        <scheme val="minor"/>
      </rPr>
      <t>proyectos de: obra y/o seguridad ciudadana y/o videovigilancia ciudadana o afines".</t>
    </r>
  </si>
  <si>
    <r>
      <t xml:space="preserve">El proponente deberá aportar como mínimo </t>
    </r>
    <r>
      <rPr>
        <b/>
        <sz val="11"/>
        <color rgb="FFFF0000"/>
        <rFont val="Calibri"/>
        <family val="2"/>
        <scheme val="minor"/>
      </rPr>
      <t>8</t>
    </r>
    <r>
      <rPr>
        <b/>
        <sz val="11"/>
        <rFont val="Calibri"/>
        <family val="2"/>
        <scheme val="minor"/>
      </rPr>
      <t xml:space="preserve"> de las siguientes cartas de fábricas:</t>
    </r>
  </si>
  <si>
    <t>Comentario</t>
  </si>
  <si>
    <t xml:space="preserve">FABRICANTE </t>
  </si>
  <si>
    <t>Folio</t>
  </si>
  <si>
    <t>SEGURITECH COLOMBIA SAS</t>
  </si>
  <si>
    <t>UNION ELECTRICA SA</t>
  </si>
  <si>
    <t xml:space="preserve">VIOTEC SAS </t>
  </si>
  <si>
    <t xml:space="preserve">INGENIERIA Y TELEMATICA  G&amp;C </t>
  </si>
  <si>
    <t>ESDRAS MD INGENIERIA  SAS</t>
  </si>
  <si>
    <t>PAECIA SAS</t>
  </si>
  <si>
    <t>Sistema de gestión de edificios</t>
  </si>
  <si>
    <t>selección</t>
  </si>
  <si>
    <t>Schneider</t>
  </si>
  <si>
    <t>Sombrilla Security</t>
  </si>
  <si>
    <t>CCTV (LPR, Facial, Analítica, aprendizaje profundo)</t>
  </si>
  <si>
    <t>AXIS, 
ISS
GENETEC</t>
  </si>
  <si>
    <t>595
596
597</t>
  </si>
  <si>
    <t>7 al 11</t>
  </si>
  <si>
    <t>Audio Evacuación</t>
  </si>
  <si>
    <t>KEENFINTY</t>
  </si>
  <si>
    <t>13 a 15</t>
  </si>
  <si>
    <t>Equipamiento Multimedia</t>
  </si>
  <si>
    <t>Lectoras Sistema control acceso</t>
  </si>
  <si>
    <t>IDEMIA</t>
  </si>
  <si>
    <t>Controladora sistema control acceso</t>
  </si>
  <si>
    <t>AXIS</t>
  </si>
  <si>
    <t>Máquina de Rayos X</t>
  </si>
  <si>
    <t>ASTROPHYSICS</t>
  </si>
  <si>
    <t>PROTACTICS</t>
  </si>
  <si>
    <t>Arco detector de metales</t>
  </si>
  <si>
    <t>Talanquera/Road Blockers</t>
  </si>
  <si>
    <t>CAME</t>
  </si>
  <si>
    <t>23
24</t>
  </si>
  <si>
    <t>Torniquetes</t>
  </si>
  <si>
    <t>WOLPAC</t>
  </si>
  <si>
    <t>WOLPAC
CAME</t>
  </si>
  <si>
    <t>26
27
28</t>
  </si>
  <si>
    <t>Radares sistema de intrusión</t>
  </si>
  <si>
    <t>Panel, sensores sistema de intrusión</t>
  </si>
  <si>
    <t>Sistema de gestión de visitantes</t>
  </si>
  <si>
    <t>WELCOME</t>
  </si>
  <si>
    <t>34
35</t>
  </si>
  <si>
    <t>Enlace Inalámbrico</t>
  </si>
  <si>
    <t xml:space="preserve">TRANSCELESTIAL </t>
  </si>
  <si>
    <t>No se evidencia en la carta que es un canal autorizado, para la comercialización y/o adquisición, instalación y puesta a punto, soporte y mantenimiento de los equipos sobre los cuales están anexos en la ficha técnica.</t>
  </si>
  <si>
    <t>VideoWall</t>
  </si>
  <si>
    <t>Obligatoria</t>
  </si>
  <si>
    <t>UNILUMIN</t>
  </si>
  <si>
    <t>39
46</t>
  </si>
  <si>
    <t>Controladora Videowall</t>
  </si>
  <si>
    <t xml:space="preserve">JUPITER </t>
  </si>
  <si>
    <t>42
48</t>
  </si>
  <si>
    <t>Muebles especializado</t>
  </si>
  <si>
    <t>GESAB</t>
  </si>
  <si>
    <t>a</t>
  </si>
  <si>
    <t>carta emitida por cada una de las fábricas de los subsistemas presentados dirigida al proceso, donde se indique que el proponente cuenta con personal certificado para realizar la instalación, configuración, puesta a punto y mantenimiento.</t>
  </si>
  <si>
    <t>b</t>
  </si>
  <si>
    <t>carta de cada uno de los fabricantes de los subsistemas presentados dirigida al presente proceso: donde certifique que el OFERENTE es un canal autorizado, para la comercialización y/o adquisición, instalación y puesta a punto, soporte y mantenimiento de los equipos sobre los cuales están anexos en la ficha técnica.</t>
  </si>
  <si>
    <t>c</t>
  </si>
  <si>
    <t>Carta dirigía por los fabricantes presentados a un (1) mayorista donde indica que es un canal autorizado de distribución</t>
  </si>
  <si>
    <t>d</t>
  </si>
  <si>
    <t>Carta de un mayorista donde indica que respaldara financieramente el flujo del proyecto para los subsistemas listados</t>
  </si>
  <si>
    <t>e1</t>
  </si>
  <si>
    <t>Carta de fabricante de VideoWall existente que certifique la compatibilidad en la ampliación del sistema existente, el cual está definido en el anexo de especificaciones técnicas.</t>
  </si>
  <si>
    <t xml:space="preserve">UNILUMIN </t>
  </si>
  <si>
    <t>e2</t>
  </si>
  <si>
    <t>Carta de fabricante de Controladora de VideoWall existente que certifique la compatibilidad en la ampliación del sistema existente, el cual está definido en el anexo de especificaciones técnicas.</t>
  </si>
  <si>
    <t>f</t>
  </si>
  <si>
    <t>El proponente deberá diligenciar el ANEXO N° 10 CARTAS DE FÁBRICA</t>
  </si>
  <si>
    <t>Criterio</t>
  </si>
  <si>
    <t>Puntaje Máximo</t>
  </si>
  <si>
    <t>Factor Técnico</t>
  </si>
  <si>
    <t>Factor Económico (Precio )</t>
  </si>
  <si>
    <t>Estímulo a la industria Nacional Colombiana</t>
  </si>
  <si>
    <t>Personal con discapacidad</t>
  </si>
  <si>
    <t>Emprendimientos y empresas de mujeres</t>
  </si>
  <si>
    <t>TOTAL PUNTOS</t>
  </si>
  <si>
    <t xml:space="preserve">P. oficial </t>
  </si>
  <si>
    <t xml:space="preserve">TECHO </t>
  </si>
  <si>
    <t xml:space="preserve">PISO </t>
  </si>
  <si>
    <t>MENOR VALOR</t>
  </si>
  <si>
    <t>Puntos</t>
  </si>
  <si>
    <t>PUNTAJE</t>
  </si>
  <si>
    <t>PUNTAJE MAXIMO EVALUABLE</t>
  </si>
  <si>
    <t>FOLIO</t>
  </si>
  <si>
    <t>OBSERVACIONES</t>
  </si>
  <si>
    <t>FOLIOS</t>
  </si>
  <si>
    <t>OBSERVACIONES2</t>
  </si>
  <si>
    <t>A</t>
  </si>
  <si>
    <r>
      <t xml:space="preserve">Contratos de Seguridad ciudadana de construcción y/o adecuación </t>
    </r>
    <r>
      <rPr>
        <sz val="8"/>
        <color rgb="FFFF0000"/>
        <rFont val="Calibri"/>
        <family val="2"/>
        <scheme val="minor"/>
      </rPr>
      <t>y/o implementación</t>
    </r>
    <r>
      <rPr>
        <sz val="8"/>
        <color theme="1"/>
        <rFont val="Calibri"/>
        <family val="2"/>
        <scheme val="minor"/>
      </rPr>
      <t xml:space="preserve"> de centros de monitoreo y/o salas de monitoreo y/o salas integradas de emergencia y seguridad (SIES) y/o centros de comando y control en Colombia</t>
    </r>
  </si>
  <si>
    <t>1660-1869</t>
  </si>
  <si>
    <t>1888-1970</t>
  </si>
  <si>
    <t>B</t>
  </si>
  <si>
    <r>
      <t xml:space="preserve">Contratos de Seguridad ciudadana de construcción y/o adecuación </t>
    </r>
    <r>
      <rPr>
        <sz val="8"/>
        <color rgb="FFFF0000"/>
        <rFont val="Calibri"/>
        <family val="2"/>
        <scheme val="minor"/>
      </rPr>
      <t>y/o implementació</t>
    </r>
    <r>
      <rPr>
        <sz val="8"/>
        <color theme="1"/>
        <rFont val="Calibri"/>
        <family val="2"/>
        <scheme val="minor"/>
      </rPr>
      <t>n de centros de monitoreo y/o salas de monitoreo y/o salas integradas de emergencia y seguridad (SIES) y/o centros de comando y control en diferentes municipios de Colombiaa</t>
    </r>
  </si>
  <si>
    <t>1870-1872,11667-1780</t>
  </si>
  <si>
    <t>1971-1977</t>
  </si>
  <si>
    <t>C</t>
  </si>
  <si>
    <t>Contratos de suministro y/o instalación y/o implementación de sistemas de proyección y/o visualización de gran formato (Video Wall), en edificaciones institucionales y/o públicas y/o gubernamentales</t>
  </si>
  <si>
    <t>1875-1955</t>
  </si>
  <si>
    <t>1978-1984</t>
  </si>
  <si>
    <t>D</t>
  </si>
  <si>
    <t>Contratos de seguridad ciudadana de suministro, instalación y configuración de puntos de cableado estructurado</t>
  </si>
  <si>
    <t>1957-1959</t>
  </si>
  <si>
    <t>1985-1995</t>
  </si>
  <si>
    <t>No se tienen encuenta los patch cord</t>
  </si>
  <si>
    <t>E</t>
  </si>
  <si>
    <t>Contratos de Suministro, Instalación y puesta en funcionamiento de redes de comunicación en edificaciones institucionales y/o públicas y/o gubernamentales</t>
  </si>
  <si>
    <t>1960-1963</t>
  </si>
  <si>
    <t>1996-2021</t>
  </si>
  <si>
    <t>F</t>
  </si>
  <si>
    <t>Contratos de seguridad ciudadana, de soluciones de gestión de video y/o sistemas de administración de video (VMS)</t>
  </si>
  <si>
    <t>1969-1972</t>
  </si>
  <si>
    <t>2022-2025</t>
  </si>
  <si>
    <t>G</t>
  </si>
  <si>
    <t>Contratos cuyo objeto, alcance o actividades contengan: Suministro y/o instalación y/o integración de BMS (Business Managment System) y/o automatización, en edificaciones institucionales y/o públicas y/o gubernamentales</t>
  </si>
  <si>
    <t>1973-1979</t>
  </si>
  <si>
    <t>2026-2059</t>
  </si>
  <si>
    <t>H</t>
  </si>
  <si>
    <t>Contratos de Suministro e Instalación, de sistemas de voceo y/o megafonía y/o audio y/o sonido en edificaciones institucionales y/o públicas y/o estatales y/o gubernamentales</t>
  </si>
  <si>
    <t>1980-2000</t>
  </si>
  <si>
    <t>2060-2099</t>
  </si>
  <si>
    <t>No se contabiliza el contrato No. 08811-2017, dado que no aporta acta de liquidación o acta de terminación</t>
  </si>
  <si>
    <t>I</t>
  </si>
  <si>
    <r>
      <t xml:space="preserve">Contratos de seguridad ciudadana de </t>
    </r>
    <r>
      <rPr>
        <sz val="8"/>
        <color rgb="FFFF0000"/>
        <rFont val="Calibri"/>
        <family val="2"/>
        <scheme val="minor"/>
      </rPr>
      <t>suministro</t>
    </r>
    <r>
      <rPr>
        <sz val="8"/>
        <color theme="1"/>
        <rFont val="Calibri"/>
        <family val="2"/>
        <scheme val="minor"/>
      </rPr>
      <t xml:space="preserve"> y/o construcción y/o adecuación de centros de monitoreo y/o salas de monitoreo y/o salas integradas de emergencia y seguridad (SIES) y/o centros de comando y control, que incluyan el suministro e instalación de lectoras biométricas y/o faciales</t>
    </r>
    <r>
      <rPr>
        <sz val="8"/>
        <color rgb="FFFF0000"/>
        <rFont val="Calibri"/>
        <family val="2"/>
        <scheme val="minor"/>
      </rPr>
      <t xml:space="preserve"> y/o sistemas de identificación biométrica.</t>
    </r>
  </si>
  <si>
    <t>2001-2004</t>
  </si>
  <si>
    <t>2100-2107</t>
  </si>
  <si>
    <t>J</t>
  </si>
  <si>
    <t>Contratos de seguridad ciudadana de construcción y/o adecuación de centros de monitoreo y/o salas de monitoreo y/o salas integradas de emergencia y seguridad (SIES) y/o centros de comando y control, que incluyan el suministro e instalación de CCTV interno</t>
  </si>
  <si>
    <t>2005-2008</t>
  </si>
  <si>
    <t>2108-2115</t>
  </si>
  <si>
    <t>K</t>
  </si>
  <si>
    <t>Contratos de construcción y/o adecuación y/o implementación de Data Center y/o Centros de Cableado y/o Salas de Cómputo, en edificaciones institucionales y/o públicas y/ estatales y/o gubernamentales,</t>
  </si>
  <si>
    <t>2009-2017</t>
  </si>
  <si>
    <t>2116-2177</t>
  </si>
  <si>
    <t>L</t>
  </si>
  <si>
    <r>
      <t xml:space="preserve">Contratos de seguridad ciudadana de construcción y/o adecuación de centros de monitoreo y/o salas de monitoreo y/o salas integradas de emergencia y seguridad (SIES) y/o centros de comando y control, que incluyan el suministro, instalación y </t>
    </r>
    <r>
      <rPr>
        <sz val="8"/>
        <color rgb="FFFF0000"/>
        <rFont val="Calibri"/>
        <family val="2"/>
        <scheme val="minor"/>
      </rPr>
      <t>configuración de teléfonos y/o plantas telefónicas.</t>
    </r>
  </si>
  <si>
    <t>2018-2021</t>
  </si>
  <si>
    <t>2195-2205</t>
  </si>
  <si>
    <t>M</t>
  </si>
  <si>
    <t>Contratos de seguridad ciudadana de construcción de centros de monitoreo y/o salas de monitoreo y/o salas integradas de emergencia y seguridad (SIES) y/o centros de comando y control en Colombia</t>
  </si>
  <si>
    <t>2022-2059</t>
  </si>
  <si>
    <t>No se comprobó la subestación ni los puestos de operadores</t>
  </si>
  <si>
    <t>2206-2259</t>
  </si>
  <si>
    <t>En la certificación aportada no se evidencia lo siguiente: sala de receptores, planta diésel en cabina insonorizada, el  equipo de bombeo de protección contra incendio se encontró fue por aspirado</t>
  </si>
  <si>
    <t>N</t>
  </si>
  <si>
    <t>Contratos de seguridad ciudadana de construcción de centros de monitoreo y/o salas de monitoreo y/o salas integradas de emergencia y seguridad (SIES) y/o centros de comando y control en función del área construida</t>
  </si>
  <si>
    <t>2060-2063</t>
  </si>
  <si>
    <t>2260-2303</t>
  </si>
  <si>
    <t>O</t>
  </si>
  <si>
    <t>Contratos de suministro, instalación y configuración de sistemas multimedia en edificaciones institucionales y/o públicas y/o estatales y/o gubernamentales</t>
  </si>
  <si>
    <t>2064-2067</t>
  </si>
  <si>
    <t>No se comprobó el sistema de audio evacuación y no se evidencia en el certificado que la puerta de enlace sea para al menos 10 espacios 1 por espacio</t>
  </si>
  <si>
    <t>2304-2311</t>
  </si>
  <si>
    <t>El certificado aportado no permite verificar las cantidades mínimas exigidas para la puntuación</t>
  </si>
  <si>
    <t>P</t>
  </si>
  <si>
    <t>Contratos de suministro y/o instalación y/o configuración de sistemas especiales de intrusión y protección de accesos en edificaciones institucionales y/o públicas y/o estatales y/o gubernamentales</t>
  </si>
  <si>
    <t>2063-2080</t>
  </si>
  <si>
    <t>No se evidencia en el certificado aportado que el pasillo sea bidireccional</t>
  </si>
  <si>
    <t>2312-2328</t>
  </si>
  <si>
    <t>Q</t>
  </si>
  <si>
    <t>Contratos de suministro, instalación y/o puesta en funcionamiento de sistemas de iluminación en edificaciones institucionales y/o públicas y/o estatales y/o gubernamentales</t>
  </si>
  <si>
    <t>2081-2086</t>
  </si>
  <si>
    <t>No se evidencia el número de luminarias automatizadas</t>
  </si>
  <si>
    <t>2329-2343</t>
  </si>
  <si>
    <t>No se evidencia el número de luminarias automatizadas, no se evidencia el fotocontrol</t>
  </si>
  <si>
    <t xml:space="preserve">TOTAL PUNTOS </t>
  </si>
  <si>
    <t>Puntos2</t>
  </si>
  <si>
    <t>Puntos3</t>
  </si>
  <si>
    <t>Puntos4</t>
  </si>
  <si>
    <t>Puntos5</t>
  </si>
  <si>
    <t>Puntos6</t>
  </si>
  <si>
    <t>Puntos7</t>
  </si>
  <si>
    <t>Puntos52</t>
  </si>
  <si>
    <t>Puntos53</t>
  </si>
  <si>
    <t>Puntos54</t>
  </si>
  <si>
    <t>Puntos55</t>
  </si>
  <si>
    <t>Puntos552</t>
  </si>
  <si>
    <t>Puntos553</t>
  </si>
  <si>
    <t>Puntos5532</t>
  </si>
  <si>
    <t>Puntos8</t>
  </si>
  <si>
    <t>Puntos9</t>
  </si>
  <si>
    <t>Puntos10</t>
  </si>
  <si>
    <t>Puntos11</t>
  </si>
  <si>
    <t>Puntos12</t>
  </si>
  <si>
    <t>Puntos13</t>
  </si>
  <si>
    <t>Puntos14</t>
  </si>
  <si>
    <t>Puntos15</t>
  </si>
  <si>
    <t>Puntos16</t>
  </si>
  <si>
    <t>Puntos17</t>
  </si>
  <si>
    <t>Puntos18</t>
  </si>
  <si>
    <t>Puntos19</t>
  </si>
  <si>
    <t>Puntos20</t>
  </si>
  <si>
    <t>Puntos21</t>
  </si>
  <si>
    <t>Puntos22</t>
  </si>
  <si>
    <t>Puntos23</t>
  </si>
  <si>
    <t>Puntos24</t>
  </si>
  <si>
    <t>Puntos25</t>
  </si>
  <si>
    <t>Puntos26</t>
  </si>
  <si>
    <t>Puntos27</t>
  </si>
  <si>
    <t>Puntos28</t>
  </si>
  <si>
    <t>Puntos29</t>
  </si>
  <si>
    <t>Puntos30</t>
  </si>
  <si>
    <t>Puntos31</t>
  </si>
  <si>
    <t>Criterios de Calidad</t>
  </si>
  <si>
    <t>UT2</t>
  </si>
  <si>
    <t>UT3</t>
  </si>
  <si>
    <t>2087-2109</t>
  </si>
  <si>
    <t>2358-2389</t>
  </si>
  <si>
    <t>2110-2122</t>
  </si>
  <si>
    <t>2391-2400</t>
  </si>
  <si>
    <t>2126-2201</t>
  </si>
  <si>
    <t>2402-2426</t>
  </si>
  <si>
    <t>TOTAL</t>
  </si>
  <si>
    <t>Índice de liquidez</t>
  </si>
  <si>
    <t>Nivel de endeudamiento</t>
  </si>
  <si>
    <t>Razón de Cobertura</t>
  </si>
  <si>
    <t>Rentabilidad sobre el Patrimonio</t>
  </si>
  <si>
    <t>Rentabilidad sobre el Activo</t>
  </si>
  <si>
    <t>Capital de Trabajo</t>
  </si>
  <si>
    <t>mayor o igual a</t>
  </si>
  <si>
    <t>menor o igual</t>
  </si>
  <si>
    <t>UNIÓN TEMPORAL GESTIÓN INTEGRAL C5</t>
  </si>
  <si>
    <t>UNIÓN TEMPORAL SEGURIDAD VIPE 2025</t>
  </si>
  <si>
    <t>11,92 años</t>
  </si>
  <si>
    <t>FACTOR TÉCNICO</t>
  </si>
  <si>
    <t>CALIDAD (535 PUNTOS)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</si>
</sst>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 #,##0.00_-;\-&quot;$&quot;\ * #,##0.00_-;_-&quot;$&quot;\ * &quot;-&quot;??_-;_-@_-"/>
    <numFmt numFmtId="43" formatCode="_-* #,##0.00_-;\-* #,##0.00_-;_-* &quot;-&quot;??_-;_-@_-"/>
    <numFmt numFmtId="164" formatCode="#,##0.00\ ;&quot; (&quot;#,##0.00\);&quot; -&quot;#\ ;@\ "/>
    <numFmt numFmtId="165" formatCode="0.0"/>
    <numFmt numFmtId="166" formatCode="_-[$$-240A]\ * #,##0_-;\-[$$-240A]\ * #,##0_-;_-[$$-240A]\ * &quot;-&quot;??_-;_-@_-"/>
    <numFmt numFmtId="167" formatCode="_-&quot;$&quot;\ * #,##0_-;\-&quot;$&quot;\ * #,##0_-;_-&quot;$&quot;\ * &quot;-&quot;??_-;_-@_-"/>
    <numFmt numFmtId="168" formatCode="_-* #,##0.00000_-;\-* #,##0.00000_-;_-* &quot;-&quot;??_-;_-@_-"/>
    <numFmt numFmtId="169" formatCode="_-* #,##0.000_-;\-* #,##0.000_-;_-* &quot;-&quot;??_-;_-@_-"/>
  </numFmts>
  <fonts count="38" x14ac:knownFonts="1">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2"/>
      <name val="Calibri"/>
      <family val="2"/>
      <scheme val="minor"/>
    </font>
    <font>
      <sz val="11"/>
      <color theme="1"/>
      <name val="Calibri"/>
      <family val="2"/>
      <scheme val="minor"/>
    </font>
    <font>
      <sz val="11"/>
      <color rgb="FFFF0000"/>
      <name val="Calibri"/>
      <family val="2"/>
      <scheme val="minor"/>
    </font>
    <font>
      <sz val="11"/>
      <color indexed="9"/>
      <name val="Calibri"/>
      <family val="2"/>
    </font>
    <font>
      <sz val="11"/>
      <color indexed="8"/>
      <name val="Calibri"/>
      <family val="2"/>
    </font>
    <font>
      <sz val="10"/>
      <name val="Arial"/>
      <family val="2"/>
    </font>
    <font>
      <b/>
      <sz val="11"/>
      <name val="Calibri"/>
      <family val="2"/>
      <scheme val="minor"/>
    </font>
    <font>
      <b/>
      <sz val="11"/>
      <color theme="0"/>
      <name val="Calibri"/>
      <family val="2"/>
      <scheme val="minor"/>
    </font>
    <font>
      <sz val="7"/>
      <color theme="1"/>
      <name val="Calibri"/>
      <family val="2"/>
      <scheme val="minor"/>
    </font>
    <font>
      <b/>
      <sz val="14"/>
      <color theme="1"/>
      <name val="Calibri"/>
      <family val="2"/>
      <scheme val="minor"/>
    </font>
    <font>
      <sz val="11"/>
      <color theme="1"/>
      <name val="Calibri"/>
      <family val="2"/>
    </font>
    <font>
      <b/>
      <sz val="8"/>
      <color rgb="FF000000"/>
      <name val="Century Gothic"/>
      <family val="2"/>
    </font>
    <font>
      <sz val="8"/>
      <color rgb="FF000000"/>
      <name val="Century Gothic"/>
      <family val="2"/>
    </font>
    <font>
      <b/>
      <sz val="12"/>
      <color rgb="FF000000"/>
      <name val="Calibri"/>
      <family val="2"/>
    </font>
    <font>
      <b/>
      <sz val="11"/>
      <color rgb="FF000000"/>
      <name val="Calibri"/>
      <family val="2"/>
    </font>
    <font>
      <sz val="12"/>
      <color rgb="FF000000"/>
      <name val="Calibri"/>
      <family val="2"/>
    </font>
    <font>
      <sz val="11"/>
      <color rgb="FF000000"/>
      <name val="Calibri"/>
      <family val="2"/>
    </font>
    <font>
      <sz val="8"/>
      <color theme="1"/>
      <name val="Calibri"/>
      <family val="2"/>
      <scheme val="minor"/>
    </font>
    <font>
      <sz val="9"/>
      <color theme="1"/>
      <name val="Calibri"/>
      <family val="2"/>
      <scheme val="minor"/>
    </font>
    <font>
      <sz val="8"/>
      <name val="Calibri"/>
      <family val="2"/>
      <scheme val="minor"/>
    </font>
    <font>
      <sz val="8"/>
      <color rgb="FFFF0000"/>
      <name val="Century Gothic"/>
      <family val="2"/>
    </font>
    <font>
      <b/>
      <sz val="11"/>
      <color rgb="FFFF0000"/>
      <name val="Calibri"/>
      <family val="2"/>
      <scheme val="minor"/>
    </font>
    <font>
      <sz val="11"/>
      <color rgb="FFFF0000"/>
      <name val="Calibri"/>
      <family val="2"/>
    </font>
    <font>
      <sz val="8"/>
      <color rgb="FFFF0000"/>
      <name val="Calibri"/>
      <family val="2"/>
      <scheme val="minor"/>
    </font>
    <font>
      <sz val="11"/>
      <color theme="5"/>
      <name val="Calibri"/>
      <family val="2"/>
      <scheme val="minor"/>
    </font>
    <font>
      <sz val="11"/>
      <color rgb="FF000000"/>
      <name val="Calibri"/>
      <family val="2"/>
      <scheme val="minor"/>
    </font>
    <font>
      <sz val="11"/>
      <color rgb="FF000000"/>
      <name val="Calibri"/>
      <family val="2"/>
    </font>
    <font>
      <b/>
      <sz val="11"/>
      <color theme="1"/>
      <name val="Calibri"/>
      <family val="2"/>
      <scheme val="minor"/>
    </font>
    <font>
      <sz val="9"/>
      <color rgb="FF000000"/>
      <name val="Calibri"/>
      <family val="2"/>
      <scheme val="minor"/>
    </font>
    <font>
      <b/>
      <sz val="11"/>
      <name val="Calibri"/>
      <family val="2"/>
      <scheme val="minor"/>
    </font>
    <font>
      <sz val="11"/>
      <color rgb="FF242424"/>
      <name val="Calibri"/>
      <family val="2"/>
      <scheme val="minor"/>
    </font>
    <font>
      <sz val="11"/>
      <name val="Calibri"/>
      <family val="2"/>
      <scheme val="minor"/>
    </font>
  </fonts>
  <fills count="2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00B0F0"/>
        <bgColor indexed="64"/>
      </patternFill>
    </fill>
    <fill>
      <patternFill patternType="solid">
        <fgColor indexed="54"/>
        <bgColor indexed="48"/>
      </patternFill>
    </fill>
    <fill>
      <patternFill patternType="solid">
        <fgColor theme="0" tint="-0.34998626667073579"/>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rgb="FF92D050"/>
        <bgColor theme="0" tint="-0.14999847407452621"/>
      </patternFill>
    </fill>
    <fill>
      <patternFill patternType="solid">
        <fgColor rgb="FF92D050"/>
        <bgColor indexed="64"/>
      </patternFill>
    </fill>
    <fill>
      <patternFill patternType="solid">
        <fgColor theme="4"/>
        <bgColor theme="4"/>
      </patternFill>
    </fill>
    <fill>
      <patternFill patternType="solid">
        <fgColor theme="5" tint="0.39997558519241921"/>
        <bgColor indexed="64"/>
      </patternFill>
    </fill>
    <fill>
      <patternFill patternType="solid">
        <fgColor rgb="FFFF0000"/>
        <bgColor indexed="64"/>
      </patternFill>
    </fill>
    <fill>
      <patternFill patternType="solid">
        <fgColor rgb="FFD9D9D9"/>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2" tint="-9.9978637043366805E-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medium">
        <color rgb="FF000000"/>
      </top>
      <bottom/>
      <diagonal/>
    </border>
    <border>
      <left/>
      <right style="medium">
        <color rgb="FF000000"/>
      </right>
      <top style="medium">
        <color rgb="FF000000"/>
      </top>
      <bottom/>
      <diagonal/>
    </border>
    <border>
      <left style="thin">
        <color rgb="FF000000"/>
      </left>
      <right style="medium">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right style="medium">
        <color rgb="FF000000"/>
      </right>
      <top/>
      <bottom style="thin">
        <color rgb="FF000000"/>
      </bottom>
      <diagonal/>
    </border>
    <border>
      <left/>
      <right style="medium">
        <color rgb="FF000000"/>
      </right>
      <top style="thin">
        <color rgb="FF000000"/>
      </top>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style="medium">
        <color rgb="FF000000"/>
      </top>
      <bottom/>
      <diagonal/>
    </border>
  </borders>
  <cellStyleXfs count="8">
    <xf numFmtId="0" fontId="0" fillId="0" borderId="0"/>
    <xf numFmtId="0" fontId="9" fillId="5" borderId="0" applyNumberFormat="0" applyBorder="0" applyAlignment="0" applyProtection="0"/>
    <xf numFmtId="0" fontId="10" fillId="0" borderId="0"/>
    <xf numFmtId="0" fontId="11" fillId="0" borderId="0"/>
    <xf numFmtId="164" fontId="10" fillId="0" borderId="0"/>
    <xf numFmtId="43" fontId="7" fillId="0" borderId="0" applyFont="0" applyFill="0" applyBorder="0" applyAlignment="0" applyProtection="0"/>
    <xf numFmtId="44" fontId="7" fillId="0" borderId="0" applyFont="0" applyFill="0" applyBorder="0" applyAlignment="0" applyProtection="0"/>
    <xf numFmtId="0" fontId="16" fillId="0" borderId="0"/>
  </cellStyleXfs>
  <cellXfs count="265">
    <xf numFmtId="0" fontId="0" fillId="0" borderId="0" xfId="0"/>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0" fillId="0" borderId="0" xfId="0" applyAlignment="1">
      <alignment horizontal="center" vertical="center"/>
    </xf>
    <xf numFmtId="0" fontId="0" fillId="0" borderId="0" xfId="0" applyAlignment="1">
      <alignment horizontal="center"/>
    </xf>
    <xf numFmtId="0" fontId="12" fillId="3" borderId="1" xfId="0" applyFont="1" applyFill="1" applyBorder="1" applyAlignment="1">
      <alignment horizontal="center" vertical="center" wrapText="1"/>
    </xf>
    <xf numFmtId="0" fontId="3" fillId="2" borderId="0" xfId="0" applyFont="1" applyFill="1" applyAlignment="1">
      <alignment horizontal="center"/>
    </xf>
    <xf numFmtId="0" fontId="0" fillId="0" borderId="0" xfId="0" applyAlignment="1">
      <alignment horizontal="center" vertical="center" wrapText="1"/>
    </xf>
    <xf numFmtId="0" fontId="3" fillId="0" borderId="0" xfId="0" applyFont="1" applyAlignment="1">
      <alignment horizontal="center" vertical="center" wrapText="1"/>
    </xf>
    <xf numFmtId="0" fontId="5" fillId="0" borderId="5" xfId="0" applyFont="1" applyBorder="1" applyAlignment="1">
      <alignment horizontal="center" vertical="center"/>
    </xf>
    <xf numFmtId="0" fontId="4" fillId="0" borderId="5" xfId="0"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center" vertical="center" wrapText="1"/>
    </xf>
    <xf numFmtId="0" fontId="3" fillId="6" borderId="1" xfId="0" applyFont="1" applyFill="1" applyBorder="1" applyAlignment="1">
      <alignment horizontal="center" vertical="center" wrapText="1"/>
    </xf>
    <xf numFmtId="0" fontId="7" fillId="8" borderId="1" xfId="0" applyFont="1" applyFill="1" applyBorder="1" applyAlignment="1">
      <alignment vertical="center"/>
    </xf>
    <xf numFmtId="0" fontId="14" fillId="7" borderId="1"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0" fillId="8" borderId="1" xfId="0" applyFill="1" applyBorder="1" applyAlignment="1">
      <alignment vertical="center"/>
    </xf>
    <xf numFmtId="0" fontId="5" fillId="0" borderId="0" xfId="0" applyFont="1" applyAlignment="1">
      <alignment horizontal="center" vertical="center"/>
    </xf>
    <xf numFmtId="0" fontId="4" fillId="0" borderId="6" xfId="0" applyFont="1" applyBorder="1" applyAlignment="1">
      <alignment horizontal="center" vertical="center"/>
    </xf>
    <xf numFmtId="0" fontId="5" fillId="10" borderId="6" xfId="0" applyFont="1" applyFill="1" applyBorder="1" applyAlignment="1">
      <alignment horizontal="center" vertical="center"/>
    </xf>
    <xf numFmtId="0" fontId="5" fillId="11" borderId="6" xfId="0" applyFont="1" applyFill="1" applyBorder="1" applyAlignment="1">
      <alignment horizontal="center" vertical="center"/>
    </xf>
    <xf numFmtId="0" fontId="0" fillId="0" borderId="0" xfId="0" applyAlignment="1">
      <alignment wrapText="1"/>
    </xf>
    <xf numFmtId="0" fontId="13" fillId="12" borderId="7" xfId="0" applyFont="1" applyFill="1" applyBorder="1" applyAlignment="1">
      <alignment horizontal="center" vertical="center" wrapText="1"/>
    </xf>
    <xf numFmtId="0" fontId="13" fillId="12" borderId="8" xfId="0" applyFont="1" applyFill="1" applyBorder="1" applyAlignment="1">
      <alignment horizontal="center" vertical="center" wrapText="1"/>
    </xf>
    <xf numFmtId="0" fontId="0" fillId="0" borderId="0" xfId="0" applyAlignment="1">
      <alignment vertical="center"/>
    </xf>
    <xf numFmtId="0" fontId="3" fillId="13" borderId="1" xfId="0" applyFont="1" applyFill="1" applyBorder="1" applyAlignment="1">
      <alignment horizontal="center" vertical="center" wrapText="1"/>
    </xf>
    <xf numFmtId="0" fontId="15" fillId="13" borderId="1" xfId="0" applyFont="1" applyFill="1" applyBorder="1" applyAlignment="1">
      <alignment horizontal="center" vertical="center"/>
    </xf>
    <xf numFmtId="0" fontId="8" fillId="0" borderId="1" xfId="0" applyFont="1" applyBorder="1" applyAlignment="1">
      <alignment horizontal="center" vertical="center"/>
    </xf>
    <xf numFmtId="0" fontId="0" fillId="11" borderId="0" xfId="0" applyFill="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165" fontId="0" fillId="0" borderId="1" xfId="0" applyNumberFormat="1" applyBorder="1" applyAlignment="1">
      <alignment horizontal="center" vertical="center"/>
    </xf>
    <xf numFmtId="0" fontId="17" fillId="0" borderId="1" xfId="0" applyFont="1" applyBorder="1" applyAlignment="1">
      <alignment vertical="center" wrapText="1"/>
    </xf>
    <xf numFmtId="0" fontId="17" fillId="0" borderId="6" xfId="0" applyFont="1" applyBorder="1" applyAlignment="1">
      <alignment horizontal="center" vertical="center" wrapText="1"/>
    </xf>
    <xf numFmtId="165" fontId="3" fillId="0" borderId="1" xfId="0" applyNumberFormat="1" applyFont="1" applyBorder="1" applyAlignment="1">
      <alignment horizontal="center" vertical="center"/>
    </xf>
    <xf numFmtId="165" fontId="0" fillId="0" borderId="0" xfId="0" applyNumberFormat="1"/>
    <xf numFmtId="0" fontId="3" fillId="0" borderId="5" xfId="0" applyFont="1" applyBorder="1" applyAlignment="1">
      <alignment horizontal="center"/>
    </xf>
    <xf numFmtId="0" fontId="3" fillId="0" borderId="1" xfId="0" applyFont="1" applyBorder="1" applyAlignment="1">
      <alignment horizontal="center"/>
    </xf>
    <xf numFmtId="167" fontId="0" fillId="0" borderId="1" xfId="6" applyNumberFormat="1" applyFont="1" applyBorder="1" applyAlignment="1">
      <alignment horizontal="left"/>
    </xf>
    <xf numFmtId="167" fontId="0" fillId="9" borderId="1" xfId="6" applyNumberFormat="1" applyFont="1" applyFill="1" applyBorder="1" applyAlignment="1">
      <alignment horizontal="left"/>
    </xf>
    <xf numFmtId="167" fontId="8" fillId="0" borderId="1" xfId="6" applyNumberFormat="1" applyFont="1" applyBorder="1" applyAlignment="1">
      <alignment horizontal="left"/>
    </xf>
    <xf numFmtId="2" fontId="0" fillId="0" borderId="0" xfId="0" applyNumberFormat="1"/>
    <xf numFmtId="168" fontId="8" fillId="0" borderId="0" xfId="5" applyNumberFormat="1" applyFont="1" applyBorder="1" applyAlignment="1">
      <alignment horizontal="left"/>
    </xf>
    <xf numFmtId="169" fontId="8" fillId="0" borderId="0" xfId="5" applyNumberFormat="1" applyFont="1" applyBorder="1" applyAlignment="1">
      <alignment horizontal="left"/>
    </xf>
    <xf numFmtId="167" fontId="0" fillId="0" borderId="0" xfId="0" applyNumberFormat="1"/>
    <xf numFmtId="0" fontId="3" fillId="11" borderId="1" xfId="0" applyFont="1" applyFill="1" applyBorder="1"/>
    <xf numFmtId="0" fontId="3" fillId="0" borderId="1" xfId="0" applyFont="1" applyBorder="1"/>
    <xf numFmtId="167" fontId="0" fillId="0" borderId="1" xfId="0" applyNumberFormat="1" applyBorder="1"/>
    <xf numFmtId="0" fontId="19" fillId="15" borderId="1" xfId="0" applyFont="1" applyFill="1" applyBorder="1" applyAlignment="1">
      <alignment horizontal="center" vertical="center"/>
    </xf>
    <xf numFmtId="0" fontId="20" fillId="15" borderId="1" xfId="0" applyFont="1" applyFill="1" applyBorder="1" applyAlignment="1">
      <alignment vertical="center"/>
    </xf>
    <xf numFmtId="0" fontId="20" fillId="15" borderId="1" xfId="0" applyFont="1" applyFill="1" applyBorder="1" applyAlignment="1">
      <alignment horizontal="center" vertical="center" wrapText="1"/>
    </xf>
    <xf numFmtId="0" fontId="21" fillId="0" borderId="1" xfId="0" applyFont="1" applyBorder="1" applyAlignment="1">
      <alignment horizontal="center" vertical="center"/>
    </xf>
    <xf numFmtId="0" fontId="22" fillId="0" borderId="1" xfId="0" applyFont="1" applyBorder="1" applyAlignment="1">
      <alignment vertical="center" wrapText="1"/>
    </xf>
    <xf numFmtId="0" fontId="22" fillId="0" borderId="1" xfId="0" applyFont="1" applyBorder="1" applyAlignment="1">
      <alignment horizontal="center" vertical="center"/>
    </xf>
    <xf numFmtId="0" fontId="0" fillId="0" borderId="1" xfId="0" applyBorder="1" applyAlignment="1">
      <alignment horizontal="center" wrapText="1"/>
    </xf>
    <xf numFmtId="0" fontId="0" fillId="0" borderId="0" xfId="0" applyAlignment="1">
      <alignment horizontal="center" wrapText="1"/>
    </xf>
    <xf numFmtId="0" fontId="0" fillId="14" borderId="1" xfId="0" applyFill="1" applyBorder="1" applyAlignment="1">
      <alignment horizontal="center" wrapText="1"/>
    </xf>
    <xf numFmtId="0" fontId="23" fillId="0" borderId="1" xfId="0" applyFont="1" applyBorder="1" applyAlignment="1">
      <alignment vertical="center" wrapText="1"/>
    </xf>
    <xf numFmtId="0" fontId="23" fillId="0" borderId="3" xfId="0" applyFont="1" applyBorder="1" applyAlignment="1">
      <alignment vertical="center" wrapText="1"/>
    </xf>
    <xf numFmtId="0" fontId="24" fillId="0" borderId="1" xfId="0" applyFont="1" applyBorder="1" applyAlignment="1">
      <alignment horizontal="center" vertical="center"/>
    </xf>
    <xf numFmtId="0" fontId="24" fillId="0" borderId="0" xfId="0" applyFont="1" applyAlignment="1">
      <alignment horizontal="center" vertical="center" wrapText="1"/>
    </xf>
    <xf numFmtId="0" fontId="24" fillId="0" borderId="3" xfId="0" applyFont="1" applyBorder="1" applyAlignment="1">
      <alignment horizontal="center" vertical="center"/>
    </xf>
    <xf numFmtId="0" fontId="0" fillId="0" borderId="0" xfId="0" applyAlignment="1">
      <alignment horizontal="center" vertical="top"/>
    </xf>
    <xf numFmtId="0" fontId="3" fillId="0" borderId="0" xfId="0" applyFont="1" applyAlignment="1">
      <alignment horizontal="center" vertical="top" wrapText="1"/>
    </xf>
    <xf numFmtId="0" fontId="3" fillId="0" borderId="0" xfId="0" applyFont="1" applyAlignment="1">
      <alignment horizontal="left" vertical="center"/>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xf>
    <xf numFmtId="0" fontId="3" fillId="0" borderId="0" xfId="0" applyFont="1" applyAlignment="1">
      <alignment horizontal="center"/>
    </xf>
    <xf numFmtId="0" fontId="13" fillId="12" borderId="0" xfId="0" applyFont="1" applyFill="1" applyAlignment="1">
      <alignment horizontal="center" vertical="center" wrapText="1"/>
    </xf>
    <xf numFmtId="0" fontId="26" fillId="0" borderId="1" xfId="0" applyFont="1" applyBorder="1" applyAlignment="1">
      <alignment horizontal="center" vertical="center" wrapText="1"/>
    </xf>
    <xf numFmtId="1" fontId="0" fillId="0" borderId="1" xfId="0" applyNumberFormat="1" applyBorder="1" applyAlignment="1">
      <alignment horizontal="center" vertical="center"/>
    </xf>
    <xf numFmtId="0" fontId="7" fillId="8" borderId="1" xfId="0" applyFont="1" applyFill="1" applyBorder="1" applyAlignment="1">
      <alignment horizontal="left" vertical="center" wrapText="1"/>
    </xf>
    <xf numFmtId="0" fontId="3" fillId="8" borderId="1" xfId="0" applyFont="1" applyFill="1" applyBorder="1" applyAlignment="1">
      <alignment vertical="center"/>
    </xf>
    <xf numFmtId="0" fontId="7" fillId="8" borderId="1" xfId="0" applyFont="1" applyFill="1" applyBorder="1" applyAlignment="1">
      <alignment vertical="center" wrapText="1"/>
    </xf>
    <xf numFmtId="0" fontId="8" fillId="0" borderId="0" xfId="0" applyFont="1"/>
    <xf numFmtId="0" fontId="19" fillId="0" borderId="1" xfId="0" applyFont="1" applyBorder="1" applyAlignment="1">
      <alignment horizontal="center" vertical="center"/>
    </xf>
    <xf numFmtId="0" fontId="20" fillId="0" borderId="1" xfId="0" applyFont="1" applyBorder="1" applyAlignment="1">
      <alignment vertical="center" wrapText="1"/>
    </xf>
    <xf numFmtId="0" fontId="3" fillId="0" borderId="1" xfId="0" applyFont="1" applyBorder="1" applyAlignment="1">
      <alignment wrapText="1"/>
    </xf>
    <xf numFmtId="0" fontId="8" fillId="0" borderId="0" xfId="0" applyFont="1" applyAlignment="1">
      <alignment vertical="center" wrapText="1"/>
    </xf>
    <xf numFmtId="0" fontId="0" fillId="8" borderId="1" xfId="0" applyFill="1" applyBorder="1" applyAlignment="1">
      <alignment horizontal="left" vertical="center" wrapText="1"/>
    </xf>
    <xf numFmtId="167" fontId="8" fillId="0" borderId="1" xfId="0" applyNumberFormat="1" applyFont="1" applyBorder="1"/>
    <xf numFmtId="14" fontId="0" fillId="0" borderId="0" xfId="0" applyNumberFormat="1"/>
    <xf numFmtId="166" fontId="0" fillId="0" borderId="1" xfId="0" applyNumberFormat="1" applyBorder="1" applyAlignment="1">
      <alignment horizontal="center" wrapText="1"/>
    </xf>
    <xf numFmtId="2" fontId="0" fillId="0" borderId="1" xfId="0" applyNumberFormat="1" applyBorder="1" applyAlignment="1">
      <alignment horizontal="center" wrapText="1"/>
    </xf>
    <xf numFmtId="165" fontId="0" fillId="0" borderId="1" xfId="0" applyNumberFormat="1" applyBorder="1" applyAlignment="1">
      <alignment horizontal="center" wrapText="1"/>
    </xf>
    <xf numFmtId="0" fontId="3" fillId="8" borderId="2"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0" fillId="8" borderId="11" xfId="0" applyFill="1" applyBorder="1"/>
    <xf numFmtId="0" fontId="0" fillId="8" borderId="1" xfId="0" applyFill="1" applyBorder="1" applyAlignment="1">
      <alignment horizontal="center" vertical="center"/>
    </xf>
    <xf numFmtId="0" fontId="3" fillId="17" borderId="1" xfId="0" applyFont="1" applyFill="1" applyBorder="1" applyAlignment="1">
      <alignment horizontal="center" vertical="center" wrapText="1"/>
    </xf>
    <xf numFmtId="0" fontId="3" fillId="17" borderId="11" xfId="0" applyFont="1" applyFill="1" applyBorder="1" applyAlignment="1">
      <alignment horizontal="center" vertical="center" wrapText="1"/>
    </xf>
    <xf numFmtId="0" fontId="0" fillId="17" borderId="11" xfId="0" applyFill="1" applyBorder="1"/>
    <xf numFmtId="0" fontId="3" fillId="8" borderId="12" xfId="0" applyFont="1" applyFill="1" applyBorder="1" applyAlignment="1">
      <alignment horizontal="center" vertical="center" wrapText="1"/>
    </xf>
    <xf numFmtId="0" fontId="0" fillId="8" borderId="12" xfId="0" applyFill="1" applyBorder="1"/>
    <xf numFmtId="0" fontId="3" fillId="6" borderId="0" xfId="0" applyFont="1" applyFill="1" applyAlignment="1">
      <alignment horizontal="center" vertical="center" wrapText="1"/>
    </xf>
    <xf numFmtId="0" fontId="0" fillId="0" borderId="10" xfId="0" applyBorder="1" applyAlignment="1">
      <alignment horizontal="center"/>
    </xf>
    <xf numFmtId="0" fontId="3" fillId="17" borderId="12" xfId="0" applyFont="1" applyFill="1" applyBorder="1" applyAlignment="1">
      <alignment horizontal="center" vertical="center" wrapText="1"/>
    </xf>
    <xf numFmtId="0" fontId="0" fillId="17" borderId="12" xfId="0" applyFill="1" applyBorder="1"/>
    <xf numFmtId="0" fontId="0" fillId="17" borderId="1" xfId="0" applyFill="1" applyBorder="1" applyAlignment="1">
      <alignment horizontal="center" vertical="center"/>
    </xf>
    <xf numFmtId="0" fontId="3" fillId="13" borderId="0" xfId="0" applyFont="1" applyFill="1" applyAlignment="1">
      <alignment horizontal="center" vertical="center" wrapText="1"/>
    </xf>
    <xf numFmtId="0" fontId="3" fillId="8" borderId="11" xfId="0" applyFont="1" applyFill="1" applyBorder="1" applyAlignment="1">
      <alignment horizontal="center" vertical="center"/>
    </xf>
    <xf numFmtId="0" fontId="3" fillId="17" borderId="11" xfId="0" applyFont="1" applyFill="1" applyBorder="1" applyAlignment="1">
      <alignment horizontal="center" vertical="center"/>
    </xf>
    <xf numFmtId="0" fontId="0" fillId="8" borderId="11" xfId="0" applyFill="1" applyBorder="1" applyAlignment="1">
      <alignment horizontal="center" vertical="center"/>
    </xf>
    <xf numFmtId="0" fontId="0" fillId="17" borderId="11" xfId="0" applyFill="1" applyBorder="1" applyAlignment="1">
      <alignment horizontal="center" vertical="center"/>
    </xf>
    <xf numFmtId="0" fontId="3" fillId="8" borderId="11" xfId="0" applyFont="1" applyFill="1" applyBorder="1" applyAlignment="1">
      <alignment horizontal="center"/>
    </xf>
    <xf numFmtId="0" fontId="3" fillId="17" borderId="11" xfId="0" applyFont="1" applyFill="1" applyBorder="1" applyAlignment="1">
      <alignment horizontal="center"/>
    </xf>
    <xf numFmtId="0" fontId="0" fillId="17" borderId="5" xfId="0" applyFill="1" applyBorder="1"/>
    <xf numFmtId="0" fontId="34" fillId="0" borderId="1" xfId="0" applyFont="1" applyBorder="1" applyAlignment="1">
      <alignment horizontal="center" vertical="center"/>
    </xf>
    <xf numFmtId="167" fontId="0" fillId="9" borderId="0" xfId="6" applyNumberFormat="1" applyFont="1" applyFill="1" applyBorder="1" applyAlignment="1">
      <alignment horizontal="left"/>
    </xf>
    <xf numFmtId="167" fontId="0" fillId="0" borderId="5" xfId="6" applyNumberFormat="1" applyFont="1" applyBorder="1" applyAlignment="1">
      <alignment horizontal="left"/>
    </xf>
    <xf numFmtId="0" fontId="0" fillId="19" borderId="11" xfId="0" applyFill="1" applyBorder="1" applyAlignment="1">
      <alignment horizontal="left"/>
    </xf>
    <xf numFmtId="0" fontId="32" fillId="0" borderId="1" xfId="0" applyFont="1" applyBorder="1"/>
    <xf numFmtId="0" fontId="24" fillId="19" borderId="0" xfId="0" applyFont="1" applyFill="1" applyAlignment="1">
      <alignment horizontal="center" vertical="center" wrapText="1"/>
    </xf>
    <xf numFmtId="0" fontId="33" fillId="6" borderId="0" xfId="0" applyFont="1" applyFill="1" applyAlignment="1">
      <alignment horizontal="center" vertical="center" wrapText="1"/>
    </xf>
    <xf numFmtId="0" fontId="0" fillId="0" borderId="0" xfId="0" applyAlignment="1">
      <alignment horizontal="right" vertical="center" wrapText="1"/>
    </xf>
    <xf numFmtId="0" fontId="0" fillId="0" borderId="0" xfId="0" applyAlignment="1">
      <alignment horizontal="right" vertical="center"/>
    </xf>
    <xf numFmtId="0" fontId="33" fillId="6" borderId="15" xfId="0" applyFont="1" applyFill="1" applyBorder="1" applyAlignment="1">
      <alignment horizontal="center" vertical="center" wrapText="1"/>
    </xf>
    <xf numFmtId="10" fontId="8" fillId="0" borderId="0" xfId="5" applyNumberFormat="1" applyFont="1" applyBorder="1" applyAlignment="1">
      <alignment horizontal="left"/>
    </xf>
    <xf numFmtId="0" fontId="31" fillId="18" borderId="14" xfId="0" applyFont="1" applyFill="1" applyBorder="1" applyAlignment="1">
      <alignment horizontal="center" vertical="center"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33" fillId="18" borderId="11" xfId="0" applyFont="1" applyFill="1" applyBorder="1" applyAlignment="1">
      <alignment horizontal="center" vertical="center" wrapText="1"/>
    </xf>
    <xf numFmtId="0" fontId="31" fillId="18" borderId="11" xfId="0" applyFont="1" applyFill="1" applyBorder="1" applyAlignment="1">
      <alignment horizontal="center" vertical="center" wrapText="1"/>
    </xf>
    <xf numFmtId="0" fontId="31" fillId="18" borderId="23" xfId="0" applyFont="1" applyFill="1" applyBorder="1" applyAlignment="1">
      <alignment horizontal="center" vertical="center" wrapText="1"/>
    </xf>
    <xf numFmtId="0" fontId="31" fillId="18" borderId="13" xfId="0" applyFont="1" applyFill="1" applyBorder="1" applyAlignment="1">
      <alignment horizontal="center" vertical="center" wrapText="1"/>
    </xf>
    <xf numFmtId="0" fontId="33" fillId="18" borderId="14" xfId="0" applyFont="1" applyFill="1" applyBorder="1" applyAlignment="1">
      <alignment horizontal="center" vertical="center" wrapText="1"/>
    </xf>
    <xf numFmtId="0" fontId="31" fillId="18" borderId="24" xfId="0" applyFont="1" applyFill="1" applyBorder="1" applyAlignment="1">
      <alignment horizontal="center" vertical="center" wrapText="1"/>
    </xf>
    <xf numFmtId="49" fontId="36" fillId="18" borderId="11" xfId="0" applyNumberFormat="1" applyFont="1" applyFill="1" applyBorder="1" applyAlignment="1">
      <alignment horizontal="center" vertical="center" wrapText="1"/>
    </xf>
    <xf numFmtId="49" fontId="31" fillId="18" borderId="11" xfId="0" applyNumberFormat="1" applyFont="1" applyFill="1" applyBorder="1" applyAlignment="1">
      <alignment horizontal="center" vertical="center" wrapText="1"/>
    </xf>
    <xf numFmtId="0" fontId="31" fillId="18" borderId="16" xfId="0" applyFont="1" applyFill="1" applyBorder="1" applyAlignment="1">
      <alignment horizontal="center" vertical="center" wrapText="1"/>
    </xf>
    <xf numFmtId="0" fontId="31" fillId="16" borderId="14" xfId="0" applyFont="1" applyFill="1" applyBorder="1" applyAlignment="1">
      <alignment horizontal="center" vertical="center" wrapText="1"/>
    </xf>
    <xf numFmtId="0" fontId="31" fillId="16" borderId="11" xfId="0" applyFont="1" applyFill="1" applyBorder="1" applyAlignment="1">
      <alignment horizontal="center" vertical="center" wrapText="1"/>
    </xf>
    <xf numFmtId="0" fontId="37" fillId="16" borderId="14" xfId="0" applyFont="1" applyFill="1" applyBorder="1" applyAlignment="1">
      <alignment horizontal="center" vertical="center" wrapText="1"/>
    </xf>
    <xf numFmtId="0" fontId="31" fillId="16" borderId="16" xfId="0" applyFont="1" applyFill="1" applyBorder="1" applyAlignment="1">
      <alignment horizontal="center" vertical="center" wrapText="1"/>
    </xf>
    <xf numFmtId="0" fontId="31" fillId="16" borderId="24" xfId="0" applyFont="1" applyFill="1" applyBorder="1" applyAlignment="1">
      <alignment horizontal="center" vertical="center" wrapText="1"/>
    </xf>
    <xf numFmtId="0" fontId="37" fillId="16" borderId="24" xfId="0" applyFont="1" applyFill="1" applyBorder="1" applyAlignment="1">
      <alignment horizontal="center" vertical="center" wrapText="1"/>
    </xf>
    <xf numFmtId="0" fontId="37" fillId="16" borderId="16" xfId="0" applyFont="1" applyFill="1" applyBorder="1" applyAlignment="1">
      <alignment horizontal="center" vertical="center" wrapText="1"/>
    </xf>
    <xf numFmtId="0" fontId="31" fillId="16" borderId="26" xfId="0" applyFont="1" applyFill="1" applyBorder="1" applyAlignment="1">
      <alignment horizontal="center" vertical="center" wrapText="1"/>
    </xf>
    <xf numFmtId="0" fontId="31" fillId="16" borderId="28" xfId="0" applyFont="1" applyFill="1" applyBorder="1" applyAlignment="1">
      <alignment horizontal="center" vertical="center" wrapText="1"/>
    </xf>
    <xf numFmtId="0" fontId="31" fillId="16" borderId="1" xfId="0" applyFont="1" applyFill="1" applyBorder="1" applyAlignment="1">
      <alignment horizontal="center" vertical="center" wrapText="1"/>
    </xf>
    <xf numFmtId="0" fontId="31" fillId="16" borderId="5" xfId="0" applyFont="1" applyFill="1" applyBorder="1" applyAlignment="1">
      <alignment horizontal="center" vertical="center" wrapText="1"/>
    </xf>
    <xf numFmtId="0" fontId="31" fillId="16" borderId="17" xfId="0" applyFont="1" applyFill="1" applyBorder="1" applyAlignment="1">
      <alignment horizontal="center" vertical="center" wrapText="1"/>
    </xf>
    <xf numFmtId="0" fontId="31" fillId="16" borderId="18" xfId="0" applyFont="1" applyFill="1" applyBorder="1" applyAlignment="1">
      <alignment horizontal="center" vertical="center" wrapText="1"/>
    </xf>
    <xf numFmtId="0" fontId="31" fillId="16" borderId="15" xfId="0" applyFont="1" applyFill="1" applyBorder="1" applyAlignment="1">
      <alignment horizontal="center" vertical="center" wrapText="1"/>
    </xf>
    <xf numFmtId="0" fontId="31" fillId="16" borderId="23" xfId="0" applyFont="1" applyFill="1" applyBorder="1" applyAlignment="1">
      <alignment horizontal="center" vertical="center" wrapText="1"/>
    </xf>
    <xf numFmtId="0" fontId="3" fillId="6" borderId="1" xfId="0" applyFont="1" applyFill="1" applyBorder="1" applyAlignment="1">
      <alignment vertical="center" wrapText="1"/>
    </xf>
    <xf numFmtId="0" fontId="12" fillId="3" borderId="1" xfId="0" applyFont="1" applyFill="1" applyBorder="1" applyAlignment="1">
      <alignment vertical="center" wrapText="1"/>
    </xf>
    <xf numFmtId="0" fontId="0" fillId="0" borderId="1" xfId="0" applyBorder="1" applyAlignment="1">
      <alignment vertical="center"/>
    </xf>
    <xf numFmtId="0" fontId="8" fillId="0" borderId="1" xfId="0" applyFont="1" applyBorder="1" applyAlignment="1">
      <alignment vertical="center"/>
    </xf>
    <xf numFmtId="0" fontId="0" fillId="0" borderId="1" xfId="0" applyBorder="1" applyAlignment="1">
      <alignment vertical="center" wrapText="1"/>
    </xf>
    <xf numFmtId="0" fontId="8" fillId="0" borderId="1" xfId="0" applyFont="1" applyBorder="1" applyAlignment="1">
      <alignment vertical="center" wrapText="1"/>
    </xf>
    <xf numFmtId="1" fontId="3" fillId="0" borderId="1" xfId="0" applyNumberFormat="1" applyFont="1" applyBorder="1" applyAlignment="1">
      <alignment horizontal="center" vertical="center"/>
    </xf>
    <xf numFmtId="0" fontId="33" fillId="0" borderId="15" xfId="0" applyFont="1" applyBorder="1" applyAlignment="1">
      <alignment horizontal="center" vertical="center" wrapText="1"/>
    </xf>
    <xf numFmtId="0" fontId="33" fillId="18" borderId="15" xfId="0" applyFont="1" applyFill="1" applyBorder="1" applyAlignment="1">
      <alignment horizontal="center" vertical="center" wrapText="1"/>
    </xf>
    <xf numFmtId="0" fontId="35" fillId="20" borderId="34" xfId="0" applyFont="1" applyFill="1" applyBorder="1" applyAlignment="1">
      <alignment horizontal="center" vertical="center" wrapText="1"/>
    </xf>
    <xf numFmtId="0" fontId="31" fillId="20" borderId="34" xfId="0" applyFont="1" applyFill="1" applyBorder="1" applyAlignment="1">
      <alignment horizontal="right" vertical="center" wrapText="1"/>
    </xf>
    <xf numFmtId="0" fontId="31" fillId="20" borderId="34" xfId="0" applyFont="1" applyFill="1" applyBorder="1" applyAlignment="1">
      <alignment horizontal="center" vertical="center" wrapText="1"/>
    </xf>
    <xf numFmtId="0" fontId="33" fillId="16" borderId="41" xfId="0" applyFont="1" applyFill="1" applyBorder="1" applyAlignment="1">
      <alignment horizontal="center" vertical="center" wrapText="1"/>
    </xf>
    <xf numFmtId="0" fontId="33" fillId="16" borderId="21" xfId="0" applyFont="1" applyFill="1" applyBorder="1" applyAlignment="1">
      <alignment horizontal="center" vertical="center" wrapText="1"/>
    </xf>
    <xf numFmtId="0" fontId="33" fillId="16" borderId="37" xfId="0" applyFont="1" applyFill="1" applyBorder="1" applyAlignment="1">
      <alignment horizontal="center" vertical="center" wrapText="1"/>
    </xf>
    <xf numFmtId="0" fontId="31" fillId="18" borderId="26" xfId="0" applyFont="1" applyFill="1" applyBorder="1" applyAlignment="1">
      <alignment horizontal="center" vertical="center" wrapText="1"/>
    </xf>
    <xf numFmtId="0" fontId="31" fillId="18" borderId="28" xfId="0" applyFont="1" applyFill="1" applyBorder="1" applyAlignment="1">
      <alignment horizontal="center" vertical="center" wrapText="1"/>
    </xf>
    <xf numFmtId="0" fontId="33" fillId="20" borderId="21" xfId="0" applyFont="1" applyFill="1" applyBorder="1" applyAlignment="1">
      <alignment horizontal="center" vertical="center" wrapText="1"/>
    </xf>
    <xf numFmtId="0" fontId="31" fillId="18" borderId="51" xfId="0" applyFont="1" applyFill="1" applyBorder="1" applyAlignment="1">
      <alignment horizontal="center" vertical="center" wrapText="1"/>
    </xf>
    <xf numFmtId="49" fontId="31" fillId="18" borderId="51" xfId="0" applyNumberFormat="1" applyFont="1" applyFill="1" applyBorder="1" applyAlignment="1">
      <alignment horizontal="center" vertical="center" wrapText="1"/>
    </xf>
    <xf numFmtId="0" fontId="33" fillId="18" borderId="49" xfId="0" applyFont="1" applyFill="1" applyBorder="1" applyAlignment="1">
      <alignment horizontal="center" vertical="center" wrapText="1"/>
    </xf>
    <xf numFmtId="0" fontId="31" fillId="16" borderId="51" xfId="0" applyFont="1" applyFill="1" applyBorder="1" applyAlignment="1">
      <alignment horizontal="center" vertical="center" wrapText="1"/>
    </xf>
    <xf numFmtId="0" fontId="33" fillId="16" borderId="53" xfId="0" applyFont="1" applyFill="1" applyBorder="1" applyAlignment="1">
      <alignment horizontal="center" vertical="center" wrapText="1"/>
    </xf>
    <xf numFmtId="0" fontId="0" fillId="8" borderId="12" xfId="0" applyFill="1" applyBorder="1" applyAlignment="1">
      <alignment horizontal="center"/>
    </xf>
    <xf numFmtId="0" fontId="1" fillId="0" borderId="0" xfId="0" applyFont="1" applyAlignment="1">
      <alignment horizontal="center" vertical="center" wrapText="1"/>
    </xf>
    <xf numFmtId="0" fontId="1" fillId="20" borderId="34" xfId="0" applyFont="1" applyFill="1" applyBorder="1" applyAlignment="1">
      <alignment horizontal="center" vertical="center" wrapText="1"/>
    </xf>
    <xf numFmtId="0" fontId="1" fillId="20" borderId="12" xfId="0" applyFont="1" applyFill="1" applyBorder="1" applyAlignment="1">
      <alignment horizontal="center" vertical="center" wrapText="1"/>
    </xf>
    <xf numFmtId="0" fontId="1" fillId="20" borderId="35" xfId="0" applyFont="1" applyFill="1" applyBorder="1" applyAlignment="1">
      <alignment horizontal="center" vertical="center" wrapText="1"/>
    </xf>
    <xf numFmtId="0" fontId="1" fillId="18" borderId="11" xfId="0" applyFont="1" applyFill="1" applyBorder="1" applyAlignment="1">
      <alignment horizontal="center" vertical="center" wrapText="1"/>
    </xf>
    <xf numFmtId="49" fontId="1" fillId="18" borderId="11" xfId="0" applyNumberFormat="1" applyFont="1" applyFill="1" applyBorder="1" applyAlignment="1">
      <alignment horizontal="center" vertical="center" wrapText="1"/>
    </xf>
    <xf numFmtId="0" fontId="1" fillId="16" borderId="11" xfId="0" applyFont="1" applyFill="1" applyBorder="1" applyAlignment="1">
      <alignment horizontal="center" vertical="center" wrapText="1"/>
    </xf>
    <xf numFmtId="0" fontId="1" fillId="20" borderId="45" xfId="0" applyFont="1" applyFill="1" applyBorder="1" applyAlignment="1">
      <alignment horizontal="center" vertical="center" wrapText="1"/>
    </xf>
    <xf numFmtId="0" fontId="1" fillId="20" borderId="54" xfId="0" applyFont="1" applyFill="1" applyBorder="1" applyAlignment="1">
      <alignment horizontal="center" vertical="center" wrapText="1"/>
    </xf>
    <xf numFmtId="0" fontId="1" fillId="20" borderId="27" xfId="0" applyFont="1" applyFill="1" applyBorder="1" applyAlignment="1">
      <alignment horizontal="center" vertical="center" wrapText="1"/>
    </xf>
    <xf numFmtId="49" fontId="1" fillId="0" borderId="0" xfId="0" applyNumberFormat="1" applyFont="1" applyAlignment="1">
      <alignment horizontal="center" vertical="center" wrapText="1"/>
    </xf>
    <xf numFmtId="0" fontId="0" fillId="8" borderId="11" xfId="0" applyFill="1" applyBorder="1" applyAlignment="1">
      <alignment horizontal="center"/>
    </xf>
    <xf numFmtId="0" fontId="0" fillId="17" borderId="11" xfId="0" applyFill="1" applyBorder="1" applyAlignment="1">
      <alignment horizontal="center"/>
    </xf>
    <xf numFmtId="0" fontId="0" fillId="8" borderId="11" xfId="0" applyFill="1" applyBorder="1" applyAlignment="1">
      <alignment horizontal="center" vertical="center" wrapText="1"/>
    </xf>
    <xf numFmtId="0" fontId="0" fillId="8" borderId="12" xfId="0" applyFill="1" applyBorder="1" applyAlignment="1">
      <alignment horizontal="center" vertical="center"/>
    </xf>
    <xf numFmtId="0" fontId="0" fillId="17" borderId="12" xfId="0" applyFill="1" applyBorder="1" applyAlignment="1">
      <alignment horizontal="center" vertical="center"/>
    </xf>
    <xf numFmtId="14" fontId="0" fillId="17" borderId="11" xfId="0" applyNumberFormat="1" applyFill="1" applyBorder="1" applyAlignment="1">
      <alignment horizontal="center"/>
    </xf>
    <xf numFmtId="14" fontId="0" fillId="8" borderId="12" xfId="0" applyNumberFormat="1" applyFill="1" applyBorder="1" applyAlignment="1">
      <alignment horizontal="center"/>
    </xf>
    <xf numFmtId="2" fontId="0" fillId="17" borderId="11" xfId="0" applyNumberFormat="1" applyFill="1" applyBorder="1" applyAlignment="1">
      <alignment horizontal="center"/>
    </xf>
    <xf numFmtId="14" fontId="0" fillId="8" borderId="11" xfId="0" applyNumberFormat="1" applyFill="1" applyBorder="1" applyAlignment="1">
      <alignment horizontal="center"/>
    </xf>
    <xf numFmtId="0" fontId="3" fillId="8" borderId="11" xfId="0" applyFont="1" applyFill="1" applyBorder="1" applyAlignment="1">
      <alignment horizontal="center" wrapText="1"/>
    </xf>
    <xf numFmtId="14" fontId="3" fillId="8" borderId="11" xfId="0" applyNumberFormat="1" applyFont="1" applyFill="1" applyBorder="1" applyAlignment="1">
      <alignment horizontal="center" wrapText="1"/>
    </xf>
    <xf numFmtId="0" fontId="3" fillId="9" borderId="1" xfId="0" applyFont="1" applyFill="1" applyBorder="1" applyAlignment="1">
      <alignment horizontal="center" vertical="center" wrapText="1"/>
    </xf>
    <xf numFmtId="0" fontId="0" fillId="0" borderId="1" xfId="0" applyBorder="1" applyAlignment="1">
      <alignment horizontal="center" vertical="center" wrapText="1"/>
    </xf>
    <xf numFmtId="0" fontId="1" fillId="20" borderId="35" xfId="0" applyFont="1" applyFill="1" applyBorder="1" applyAlignment="1">
      <alignment horizontal="center" vertical="center" wrapText="1"/>
    </xf>
    <xf numFmtId="0" fontId="1" fillId="20" borderId="46" xfId="0" applyFont="1" applyFill="1" applyBorder="1" applyAlignment="1">
      <alignment horizontal="center" vertical="center" wrapText="1"/>
    </xf>
    <xf numFmtId="0" fontId="1" fillId="20" borderId="36" xfId="0" applyFont="1" applyFill="1" applyBorder="1" applyAlignment="1">
      <alignment horizontal="center" vertical="center" wrapText="1"/>
    </xf>
    <xf numFmtId="0" fontId="33" fillId="20" borderId="38" xfId="0" applyFont="1" applyFill="1" applyBorder="1" applyAlignment="1">
      <alignment horizontal="center" vertical="center" wrapText="1"/>
    </xf>
    <xf numFmtId="0" fontId="33" fillId="20" borderId="39" xfId="0" applyFont="1" applyFill="1" applyBorder="1" applyAlignment="1">
      <alignment horizontal="center" vertical="center" wrapText="1"/>
    </xf>
    <xf numFmtId="0" fontId="33" fillId="20" borderId="42" xfId="0" applyFont="1" applyFill="1" applyBorder="1" applyAlignment="1">
      <alignment horizontal="center" vertical="center" wrapText="1"/>
    </xf>
    <xf numFmtId="0" fontId="33" fillId="20" borderId="43" xfId="0" applyFont="1" applyFill="1" applyBorder="1" applyAlignment="1">
      <alignment horizontal="center" vertical="center" wrapText="1"/>
    </xf>
    <xf numFmtId="0" fontId="33" fillId="20" borderId="44" xfId="0" applyFont="1" applyFill="1" applyBorder="1" applyAlignment="1">
      <alignment horizontal="center" vertical="center" wrapText="1"/>
    </xf>
    <xf numFmtId="0" fontId="33" fillId="20" borderId="33" xfId="0" applyFont="1" applyFill="1" applyBorder="1" applyAlignment="1">
      <alignment horizontal="center" vertical="center" wrapText="1"/>
    </xf>
    <xf numFmtId="0" fontId="33" fillId="20" borderId="48" xfId="0" applyFont="1" applyFill="1" applyBorder="1" applyAlignment="1">
      <alignment horizontal="center" vertical="center" wrapText="1"/>
    </xf>
    <xf numFmtId="0" fontId="33" fillId="20" borderId="32" xfId="0" applyFont="1" applyFill="1" applyBorder="1" applyAlignment="1">
      <alignment horizontal="center" vertical="center" wrapText="1"/>
    </xf>
    <xf numFmtId="0" fontId="33" fillId="20" borderId="47" xfId="0" applyFont="1" applyFill="1" applyBorder="1" applyAlignment="1">
      <alignment horizontal="center" vertical="center" wrapText="1"/>
    </xf>
    <xf numFmtId="0" fontId="33" fillId="6" borderId="11" xfId="0" applyFont="1" applyFill="1" applyBorder="1" applyAlignment="1">
      <alignment horizontal="center" vertical="center" wrapText="1"/>
    </xf>
    <xf numFmtId="0" fontId="33" fillId="6" borderId="15" xfId="0" applyFont="1" applyFill="1" applyBorder="1" applyAlignment="1">
      <alignment horizontal="center" vertical="center" wrapText="1"/>
    </xf>
    <xf numFmtId="0" fontId="33" fillId="6" borderId="26" xfId="0" applyFont="1" applyFill="1" applyBorder="1" applyAlignment="1">
      <alignment horizontal="center" vertical="center" wrapText="1"/>
    </xf>
    <xf numFmtId="0" fontId="33" fillId="18" borderId="15" xfId="0" applyFont="1" applyFill="1" applyBorder="1" applyAlignment="1">
      <alignment horizontal="center" vertical="center" wrapText="1"/>
    </xf>
    <xf numFmtId="0" fontId="33" fillId="18" borderId="26" xfId="0" applyFont="1" applyFill="1" applyBorder="1" applyAlignment="1">
      <alignment horizontal="center" vertical="center" wrapText="1"/>
    </xf>
    <xf numFmtId="49" fontId="33" fillId="6" borderId="15" xfId="0" applyNumberFormat="1" applyFont="1" applyFill="1" applyBorder="1" applyAlignment="1">
      <alignment horizontal="center" vertical="center" wrapText="1"/>
    </xf>
    <xf numFmtId="49" fontId="33" fillId="6" borderId="26" xfId="0" applyNumberFormat="1" applyFont="1" applyFill="1" applyBorder="1" applyAlignment="1">
      <alignment horizontal="center" vertical="center" wrapText="1"/>
    </xf>
    <xf numFmtId="0" fontId="33" fillId="20" borderId="31" xfId="0" applyFont="1" applyFill="1" applyBorder="1" applyAlignment="1">
      <alignment horizontal="center" vertical="center" wrapText="1"/>
    </xf>
    <xf numFmtId="0" fontId="33" fillId="20" borderId="20" xfId="0" applyFont="1" applyFill="1" applyBorder="1" applyAlignment="1">
      <alignment horizontal="center" vertical="center" wrapText="1"/>
    </xf>
    <xf numFmtId="0" fontId="33" fillId="20" borderId="30" xfId="0" applyFont="1" applyFill="1" applyBorder="1" applyAlignment="1">
      <alignment horizontal="center" vertical="center" wrapText="1"/>
    </xf>
    <xf numFmtId="0" fontId="33" fillId="20" borderId="29" xfId="0" applyFont="1" applyFill="1" applyBorder="1" applyAlignment="1">
      <alignment horizontal="center" vertical="center" wrapText="1"/>
    </xf>
    <xf numFmtId="0" fontId="31" fillId="18" borderId="50" xfId="0" applyFont="1" applyFill="1" applyBorder="1" applyAlignment="1">
      <alignment horizontal="center" vertical="center" wrapText="1"/>
    </xf>
    <xf numFmtId="0" fontId="31" fillId="18" borderId="51" xfId="0" applyFont="1" applyFill="1" applyBorder="1" applyAlignment="1">
      <alignment horizontal="center" vertical="center" wrapText="1"/>
    </xf>
    <xf numFmtId="0" fontId="31" fillId="18" borderId="12" xfId="0" applyFont="1" applyFill="1" applyBorder="1" applyAlignment="1">
      <alignment horizontal="center" vertical="center" wrapText="1"/>
    </xf>
    <xf numFmtId="0" fontId="31" fillId="18" borderId="14" xfId="0" applyFont="1" applyFill="1" applyBorder="1" applyAlignment="1">
      <alignment horizontal="center" vertical="center" wrapText="1"/>
    </xf>
    <xf numFmtId="0" fontId="31" fillId="16" borderId="12" xfId="0" applyFont="1" applyFill="1" applyBorder="1" applyAlignment="1">
      <alignment horizontal="center" vertical="center" wrapText="1"/>
    </xf>
    <xf numFmtId="0" fontId="31" fillId="16" borderId="13" xfId="0" applyFont="1" applyFill="1" applyBorder="1" applyAlignment="1">
      <alignment horizontal="center" vertical="center" wrapText="1"/>
    </xf>
    <xf numFmtId="0" fontId="31" fillId="16" borderId="14" xfId="0" applyFont="1" applyFill="1" applyBorder="1" applyAlignment="1">
      <alignment horizontal="center" vertical="center" wrapText="1"/>
    </xf>
    <xf numFmtId="0" fontId="31" fillId="16" borderId="50" xfId="0" applyFont="1" applyFill="1" applyBorder="1" applyAlignment="1">
      <alignment horizontal="center" vertical="center" wrapText="1"/>
    </xf>
    <xf numFmtId="0" fontId="31" fillId="16" borderId="52" xfId="0" applyFont="1" applyFill="1" applyBorder="1" applyAlignment="1">
      <alignment horizontal="center" vertical="center" wrapText="1"/>
    </xf>
    <xf numFmtId="0" fontId="31" fillId="16" borderId="51" xfId="0" applyFont="1" applyFill="1" applyBorder="1" applyAlignment="1">
      <alignment horizontal="center" vertical="center" wrapText="1"/>
    </xf>
    <xf numFmtId="0" fontId="33" fillId="0" borderId="15"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0" xfId="0" applyFont="1" applyBorder="1" applyAlignment="1">
      <alignment horizontal="center" vertical="center" wrapText="1"/>
    </xf>
    <xf numFmtId="0" fontId="33" fillId="6" borderId="16" xfId="0" applyFont="1" applyFill="1" applyBorder="1" applyAlignment="1">
      <alignment horizontal="center" vertical="center" wrapText="1"/>
    </xf>
    <xf numFmtId="0" fontId="33" fillId="6" borderId="41" xfId="0" applyFont="1" applyFill="1" applyBorder="1" applyAlignment="1">
      <alignment horizontal="center" vertical="center" wrapText="1"/>
    </xf>
    <xf numFmtId="0" fontId="31" fillId="18" borderId="13" xfId="0" applyFont="1" applyFill="1" applyBorder="1" applyAlignment="1">
      <alignment horizontal="center" vertical="center" wrapText="1"/>
    </xf>
    <xf numFmtId="0" fontId="31" fillId="16" borderId="11" xfId="0" applyFont="1" applyFill="1" applyBorder="1" applyAlignment="1">
      <alignment horizontal="center" vertical="center" wrapText="1"/>
    </xf>
    <xf numFmtId="0" fontId="1" fillId="18" borderId="11" xfId="0" applyFont="1" applyFill="1" applyBorder="1" applyAlignment="1">
      <alignment horizontal="center" vertical="center" wrapText="1"/>
    </xf>
    <xf numFmtId="0" fontId="1" fillId="16" borderId="11" xfId="0" applyFont="1" applyFill="1" applyBorder="1" applyAlignment="1">
      <alignment horizontal="center" vertical="center" wrapText="1"/>
    </xf>
    <xf numFmtId="0" fontId="31" fillId="16" borderId="25" xfId="0" applyFont="1" applyFill="1" applyBorder="1" applyAlignment="1">
      <alignment horizontal="center" vertical="center" wrapText="1"/>
    </xf>
    <xf numFmtId="0" fontId="31" fillId="16" borderId="24" xfId="0" applyFont="1" applyFill="1" applyBorder="1" applyAlignment="1">
      <alignment horizontal="center" vertical="center" wrapText="1"/>
    </xf>
    <xf numFmtId="0" fontId="12" fillId="7" borderId="1" xfId="0" applyFont="1" applyFill="1" applyBorder="1" applyAlignment="1">
      <alignment horizontal="center" vertical="center"/>
    </xf>
    <xf numFmtId="0" fontId="3" fillId="8" borderId="10"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18"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3" fillId="17" borderId="11" xfId="0" applyFont="1" applyFill="1" applyBorder="1" applyAlignment="1">
      <alignment horizontal="center" vertical="center" wrapText="1"/>
    </xf>
    <xf numFmtId="0" fontId="3" fillId="17" borderId="12"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xf>
    <xf numFmtId="0" fontId="3" fillId="0" borderId="9" xfId="0" applyFont="1" applyBorder="1" applyAlignment="1">
      <alignment horizontal="center"/>
    </xf>
    <xf numFmtId="0" fontId="0" fillId="0" borderId="2" xfId="0" applyBorder="1" applyAlignment="1">
      <alignment horizontal="center"/>
    </xf>
    <xf numFmtId="0" fontId="6" fillId="4" borderId="2" xfId="0" applyFont="1" applyFill="1" applyBorder="1" applyAlignment="1">
      <alignment horizontal="center"/>
    </xf>
    <xf numFmtId="0" fontId="15" fillId="13" borderId="1" xfId="0" applyFont="1" applyFill="1" applyBorder="1" applyAlignment="1">
      <alignment horizontal="center" vertical="center"/>
    </xf>
    <xf numFmtId="0" fontId="0" fillId="17" borderId="22" xfId="0" applyFill="1" applyBorder="1" applyAlignment="1">
      <alignment horizontal="center"/>
    </xf>
    <xf numFmtId="0" fontId="0" fillId="17" borderId="25" xfId="0" applyFill="1" applyBorder="1" applyAlignment="1">
      <alignment horizontal="center"/>
    </xf>
    <xf numFmtId="0" fontId="0" fillId="8" borderId="12" xfId="0" applyFill="1" applyBorder="1" applyAlignment="1">
      <alignment horizontal="center"/>
    </xf>
    <xf numFmtId="0" fontId="0" fillId="8" borderId="13" xfId="0" applyFill="1" applyBorder="1" applyAlignment="1">
      <alignment horizontal="center"/>
    </xf>
    <xf numFmtId="0" fontId="0" fillId="8" borderId="14" xfId="0" applyFill="1" applyBorder="1" applyAlignment="1">
      <alignment horizontal="center"/>
    </xf>
  </cellXfs>
  <cellStyles count="8">
    <cellStyle name="Excel Built-in Normal" xfId="2" xr:uid="{00000000-0005-0000-0000-000000000000}"/>
    <cellStyle name="Excel_BuiltIn_Énfasis4 1" xfId="1" xr:uid="{00000000-0005-0000-0000-000001000000}"/>
    <cellStyle name="Millares" xfId="5" builtinId="3"/>
    <cellStyle name="Millares 2" xfId="4" xr:uid="{00000000-0005-0000-0000-000002000000}"/>
    <cellStyle name="Moneda" xfId="6" builtinId="4"/>
    <cellStyle name="Normal" xfId="0" builtinId="0"/>
    <cellStyle name="Normal 2" xfId="3" xr:uid="{00000000-0005-0000-0000-000004000000}"/>
    <cellStyle name="Normal 2 2" xfId="7" xr:uid="{5427BC02-21ED-412E-B23E-1994DABF1425}"/>
  </cellStyles>
  <dxfs count="196">
    <dxf>
      <fill>
        <patternFill>
          <bgColor rgb="FF92D050"/>
        </patternFill>
      </fill>
    </dxf>
    <dxf>
      <fill>
        <patternFill>
          <bgColor rgb="FF92D050"/>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dxf>
    <dxf>
      <alignment horizontal="center" vertical="center"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indexed="65"/>
        </patternFill>
      </fill>
      <alignment horizontal="general" vertical="center" textRotation="0" wrapText="0" indent="0" justifyLastLine="0" shrinkToFit="0" readingOrder="0"/>
    </dxf>
    <dxf>
      <font>
        <strike val="0"/>
        <outline val="0"/>
        <shadow val="0"/>
        <u val="none"/>
        <vertAlign val="baseline"/>
        <sz val="9"/>
        <color theme="1"/>
        <name val="Calibri"/>
        <family val="2"/>
        <scheme val="minor"/>
      </font>
      <fill>
        <patternFill patternType="none">
          <fgColor indexed="64"/>
          <bgColor indexed="65"/>
        </patternFill>
      </fill>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9"/>
        <color theme="1"/>
        <name val="Calibri"/>
        <family val="2"/>
        <scheme val="minor"/>
      </font>
      <alignment horizontal="center" vertical="center" textRotation="0" wrapText="1" indent="0" justifyLastLine="0" shrinkToFit="0" readingOrder="0"/>
    </dxf>
    <dxf>
      <font>
        <strike val="0"/>
        <outline val="0"/>
        <shadow val="0"/>
        <u val="none"/>
        <vertAlign val="baseline"/>
        <sz val="9"/>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9"/>
        <color theme="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8"/>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Calibri"/>
        <scheme val="minor"/>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border>
    </dxf>
    <dxf>
      <alignment horizontal="center"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alignment horizontal="center" vertical="center"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11000000}" name="Tabla1" displayName="Tabla1" ref="A3:I20" totalsRowShown="0" headerRowDxfId="195" dataDxfId="194" tableBorderDxfId="193">
  <autoFilter ref="A3:I20" xr:uid="{00000000-0009-0000-0100-000001000000}"/>
  <sortState xmlns:xlrd2="http://schemas.microsoft.com/office/spreadsheetml/2017/richdata2" ref="A28:I43">
    <sortCondition descending="1" ref="C27:C43"/>
  </sortState>
  <tableColumns count="9">
    <tableColumn id="1" xr3:uid="{00000000-0010-0000-1100-000001000000}" name="ITEM" dataDxfId="192"/>
    <tableColumn id="2" xr3:uid="{00000000-0010-0000-1100-000002000000}" name="FACTOR TÉCNICO" dataDxfId="191"/>
    <tableColumn id="3" xr3:uid="{00000000-0010-0000-1100-000003000000}" name="PUNTAJE MAXIMO EVALUABLE" dataDxfId="190">
      <calculatedColumnFormula>Tabla4[Puntos]</calculatedColumnFormula>
    </tableColumn>
    <tableColumn id="6" xr3:uid="{00000000-0010-0000-1100-000006000000}" name="UNION TEMPORAL GESTION INTEGRAL C5" dataDxfId="189"/>
    <tableColumn id="4" xr3:uid="{68053655-D83F-48C8-87D7-C5C2E99CC38A}" name="FOLIO" dataDxfId="188"/>
    <tableColumn id="9" xr3:uid="{B07D268B-89AF-4816-AC3F-1F87DB69DA58}" name="OBSERVACIONES" dataDxfId="187"/>
    <tableColumn id="7" xr3:uid="{00000000-0010-0000-1100-000007000000}" name="UNON TEMPORAL SEGURIDAD VIPE 2025" dataDxfId="186"/>
    <tableColumn id="10" xr3:uid="{67A71C24-7BCC-4982-92BD-284561A53BC0}" name="FOLIOS" dataDxfId="185"/>
    <tableColumn id="12" xr3:uid="{E9B23D97-0DE9-447E-9342-4FB8B8F65C4B}" name="OBSERVACIONES2" dataDxfId="184"/>
  </tableColumns>
  <tableStyleInfo name="TableStyleLight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a11" displayName="Tabla11" ref="B25:G26" totalsRowShown="0" headerRowDxfId="116" dataDxfId="115">
  <autoFilter ref="B25:G26" xr:uid="{00000000-0009-0000-0100-00000B000000}"/>
  <tableColumns count="6">
    <tableColumn id="1" xr3:uid="{00000000-0010-0000-0800-000001000000}" name="I" dataDxfId="114">
      <calculatedColumnFormula>'Factor técnico'!B12</calculatedColumnFormula>
    </tableColumn>
    <tableColumn id="2" xr3:uid="{00000000-0010-0000-0800-000002000000}" name="Puntos" dataDxfId="113">
      <calculatedColumnFormula>'Factor técnico'!C12</calculatedColumnFormula>
    </tableColumn>
    <tableColumn id="3" xr3:uid="{00000000-0010-0000-0800-000003000000}" name="Puntos2" dataDxfId="112"/>
    <tableColumn id="4" xr3:uid="{00000000-0010-0000-0800-000004000000}" name="Puntos3" dataDxfId="111"/>
    <tableColumn id="5" xr3:uid="{00000000-0010-0000-0800-000005000000}" name="Puntos4" dataDxfId="110"/>
    <tableColumn id="6" xr3:uid="{00000000-0010-0000-0800-000006000000}" name="Puntos5" dataDxfId="109"/>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a12" displayName="Tabla12" ref="B28:G29" totalsRowShown="0" headerRowDxfId="108" dataDxfId="107">
  <autoFilter ref="B28:G29" xr:uid="{00000000-0009-0000-0100-00000C000000}"/>
  <tableColumns count="6">
    <tableColumn id="1" xr3:uid="{00000000-0010-0000-0900-000001000000}" name="J" dataDxfId="106">
      <calculatedColumnFormula>'Factor técnico'!B13</calculatedColumnFormula>
    </tableColumn>
    <tableColumn id="2" xr3:uid="{00000000-0010-0000-0900-000002000000}" name="Puntos" dataDxfId="105">
      <calculatedColumnFormula>'Factor técnico'!C13</calculatedColumnFormula>
    </tableColumn>
    <tableColumn id="3" xr3:uid="{00000000-0010-0000-0900-000003000000}" name="Puntos2" dataDxfId="104"/>
    <tableColumn id="4" xr3:uid="{00000000-0010-0000-0900-000004000000}" name="Puntos3" dataDxfId="103"/>
    <tableColumn id="5" xr3:uid="{00000000-0010-0000-0900-000005000000}" name="Puntos4" dataDxfId="102"/>
    <tableColumn id="6" xr3:uid="{00000000-0010-0000-0900-000006000000}" name="Puntos5" dataDxfId="10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abla13" displayName="Tabla13" ref="B31:H32" totalsRowShown="0" headerRowDxfId="100" dataDxfId="99">
  <autoFilter ref="B31:H32" xr:uid="{00000000-0009-0000-0100-00000D000000}"/>
  <tableColumns count="7">
    <tableColumn id="1" xr3:uid="{00000000-0010-0000-0A00-000001000000}" name="K" dataDxfId="98">
      <calculatedColumnFormula>'Factor técnico'!B14</calculatedColumnFormula>
    </tableColumn>
    <tableColumn id="2" xr3:uid="{00000000-0010-0000-0A00-000002000000}" name="Puntos" dataDxfId="97">
      <calculatedColumnFormula>'Factor técnico'!C14</calculatedColumnFormula>
    </tableColumn>
    <tableColumn id="3" xr3:uid="{00000000-0010-0000-0A00-000003000000}" name="Puntos2" dataDxfId="96"/>
    <tableColumn id="4" xr3:uid="{00000000-0010-0000-0A00-000004000000}" name="Puntos3" dataDxfId="95"/>
    <tableColumn id="5" xr3:uid="{00000000-0010-0000-0A00-000005000000}" name="Puntos4" dataDxfId="94"/>
    <tableColumn id="6" xr3:uid="{00000000-0010-0000-0A00-000006000000}" name="Puntos5" dataDxfId="93"/>
    <tableColumn id="7" xr3:uid="{FEEF6116-01F1-46EE-861A-C62C3B3C8910}" name="Puntos6" dataDxfId="9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a14" displayName="Tabla14" ref="B34:G35" totalsRowShown="0" headerRowDxfId="91" dataDxfId="90">
  <autoFilter ref="B34:G35" xr:uid="{00000000-0009-0000-0100-00000E000000}"/>
  <tableColumns count="6">
    <tableColumn id="1" xr3:uid="{00000000-0010-0000-0B00-000001000000}" name="L" dataDxfId="89">
      <calculatedColumnFormula>'Factor técnico'!B15</calculatedColumnFormula>
    </tableColumn>
    <tableColumn id="2" xr3:uid="{00000000-0010-0000-0B00-000002000000}" name="Puntos" dataDxfId="88">
      <calculatedColumnFormula>'Factor técnico'!C15</calculatedColumnFormula>
    </tableColumn>
    <tableColumn id="3" xr3:uid="{00000000-0010-0000-0B00-000003000000}" name="Puntos2" dataDxfId="87"/>
    <tableColumn id="4" xr3:uid="{00000000-0010-0000-0B00-000004000000}" name="Puntos3" dataDxfId="86"/>
    <tableColumn id="5" xr3:uid="{00000000-0010-0000-0B00-000005000000}" name="Puntos4" dataDxfId="85"/>
    <tableColumn id="6" xr3:uid="{00000000-0010-0000-0B00-000006000000}" name="Puntos5" dataDxfId="84"/>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a15" displayName="Tabla15" ref="B37:N38" totalsRowShown="0" headerRowDxfId="83" dataDxfId="82">
  <autoFilter ref="B37:N38" xr:uid="{00000000-0009-0000-0100-00000F000000}"/>
  <tableColumns count="13">
    <tableColumn id="1" xr3:uid="{00000000-0010-0000-0C00-000001000000}" name="M" dataDxfId="81">
      <calculatedColumnFormula>'Factor técnico'!B16</calculatedColumnFormula>
    </tableColumn>
    <tableColumn id="2" xr3:uid="{00000000-0010-0000-0C00-000002000000}" name="Puntos" dataDxfId="80">
      <calculatedColumnFormula>'Factor técnico'!C16</calculatedColumnFormula>
    </tableColumn>
    <tableColumn id="3" xr3:uid="{00000000-0010-0000-0C00-000003000000}" name="Puntos2" dataDxfId="79"/>
    <tableColumn id="4" xr3:uid="{00000000-0010-0000-0C00-000004000000}" name="Puntos3" dataDxfId="78"/>
    <tableColumn id="5" xr3:uid="{00000000-0010-0000-0C00-000005000000}" name="Puntos4" dataDxfId="77"/>
    <tableColumn id="6" xr3:uid="{00000000-0010-0000-0C00-000006000000}" name="Puntos5" dataDxfId="76"/>
    <tableColumn id="7" xr3:uid="{8E524EFC-B248-4772-BDCB-387D89FB832A}" name="Puntos52" dataDxfId="75"/>
    <tableColumn id="8" xr3:uid="{A01A9989-D5AB-4320-8E53-BB4E89D12F57}" name="Puntos53" dataDxfId="74"/>
    <tableColumn id="9" xr3:uid="{12DCCCEC-785B-44A5-B183-F88B0D5B785D}" name="Puntos54" dataDxfId="73"/>
    <tableColumn id="10" xr3:uid="{DB133DAA-59A2-4272-8AAC-8DD989464488}" name="Puntos55" dataDxfId="72"/>
    <tableColumn id="11" xr3:uid="{AF3E6634-F004-4C22-A7C7-4ADCFDFBC9FE}" name="Puntos552" dataDxfId="71"/>
    <tableColumn id="12" xr3:uid="{B75A3BEC-CF67-414D-8216-3EB15C81B959}" name="Puntos553" dataDxfId="70"/>
    <tableColumn id="13" xr3:uid="{653A660D-7338-4343-845F-DC4DB0B3677E}" name="Puntos5532" dataDxfId="69"/>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abla16" displayName="Tabla16" ref="B40:H41" totalsRowShown="0" headerRowDxfId="68" dataDxfId="67">
  <autoFilter ref="B40:H41" xr:uid="{00000000-0009-0000-0100-000010000000}"/>
  <tableColumns count="7">
    <tableColumn id="1" xr3:uid="{00000000-0010-0000-0D00-000001000000}" name="N" dataDxfId="66">
      <calculatedColumnFormula>'Factor técnico'!B17</calculatedColumnFormula>
    </tableColumn>
    <tableColumn id="2" xr3:uid="{00000000-0010-0000-0D00-000002000000}" name="Puntos" dataDxfId="65">
      <calculatedColumnFormula>'Factor técnico'!C17</calculatedColumnFormula>
    </tableColumn>
    <tableColumn id="3" xr3:uid="{00000000-0010-0000-0D00-000003000000}" name="Puntos2" dataDxfId="64"/>
    <tableColumn id="4" xr3:uid="{00000000-0010-0000-0D00-000004000000}" name="Puntos3" dataDxfId="63"/>
    <tableColumn id="5" xr3:uid="{00000000-0010-0000-0D00-000005000000}" name="Puntos4" dataDxfId="62"/>
    <tableColumn id="6" xr3:uid="{00000000-0010-0000-0D00-000006000000}" name="Puntos5" dataDxfId="61"/>
    <tableColumn id="7" xr3:uid="{D68EB8C0-8838-44BC-8FE5-7688506D0CEB}" name="Puntos6" dataDxfId="60"/>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abla17" displayName="Tabla17" ref="B43:N44" totalsRowShown="0" headerRowDxfId="59" dataDxfId="58">
  <autoFilter ref="B43:N44" xr:uid="{00000000-0009-0000-0100-000011000000}"/>
  <tableColumns count="13">
    <tableColumn id="1" xr3:uid="{00000000-0010-0000-0E00-000001000000}" name="O" dataDxfId="57">
      <calculatedColumnFormula>'Factor técnico'!B18</calculatedColumnFormula>
    </tableColumn>
    <tableColumn id="2" xr3:uid="{00000000-0010-0000-0E00-000002000000}" name="Puntos" dataDxfId="56">
      <calculatedColumnFormula>'Factor técnico'!C18</calculatedColumnFormula>
    </tableColumn>
    <tableColumn id="3" xr3:uid="{00000000-0010-0000-0E00-000003000000}" name="Puntos2" dataDxfId="55"/>
    <tableColumn id="4" xr3:uid="{00000000-0010-0000-0E00-000004000000}" name="Puntos3" dataDxfId="54"/>
    <tableColumn id="5" xr3:uid="{00000000-0010-0000-0E00-000005000000}" name="Puntos4" dataDxfId="53"/>
    <tableColumn id="6" xr3:uid="{00000000-0010-0000-0E00-000006000000}" name="Puntos5" dataDxfId="52"/>
    <tableColumn id="7" xr3:uid="{A27412DD-D730-4BEE-A67E-F1797720161B}" name="Puntos6" dataDxfId="51"/>
    <tableColumn id="8" xr3:uid="{76C273D5-78E3-4AEB-8B43-D1E3ABC0B613}" name="Puntos7" dataDxfId="50"/>
    <tableColumn id="9" xr3:uid="{D3E02288-3990-436D-BABB-C5AABE707945}" name="Puntos8" dataDxfId="49"/>
    <tableColumn id="10" xr3:uid="{FDFCFCC5-A2FA-46EF-A4BC-20EF251CB6D4}" name="Puntos9" dataDxfId="48"/>
    <tableColumn id="11" xr3:uid="{011F6230-C71C-4B6A-B590-736E6B1C8D15}" name="Puntos10" dataDxfId="47"/>
    <tableColumn id="12" xr3:uid="{0E800202-64F0-4B02-AC71-D866EB6D7A69}" name="Puntos11" dataDxfId="46"/>
    <tableColumn id="13" xr3:uid="{BB632CBD-03CD-4B04-BE94-71EC09350B65}" name="Puntos12" dataDxfId="45"/>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Tabla18" displayName="Tabla18" ref="B46:H47" totalsRowShown="0" headerRowDxfId="44" dataDxfId="43">
  <autoFilter ref="B46:H47" xr:uid="{00000000-0009-0000-0100-000012000000}"/>
  <tableColumns count="7">
    <tableColumn id="1" xr3:uid="{00000000-0010-0000-0F00-000001000000}" name="P" dataDxfId="42">
      <calculatedColumnFormula>'Factor técnico'!B19</calculatedColumnFormula>
    </tableColumn>
    <tableColumn id="2" xr3:uid="{00000000-0010-0000-0F00-000002000000}" name="Puntos" dataDxfId="41">
      <calculatedColumnFormula>'Factor técnico'!C19</calculatedColumnFormula>
    </tableColumn>
    <tableColumn id="3" xr3:uid="{00000000-0010-0000-0F00-000003000000}" name="Puntos2" dataDxfId="40"/>
    <tableColumn id="4" xr3:uid="{00000000-0010-0000-0F00-000004000000}" name="Puntos3" dataDxfId="39"/>
    <tableColumn id="5" xr3:uid="{00000000-0010-0000-0F00-000005000000}" name="Puntos4" dataDxfId="38"/>
    <tableColumn id="6" xr3:uid="{00000000-0010-0000-0F00-000006000000}" name="Puntos5" dataDxfId="37"/>
    <tableColumn id="7" xr3:uid="{0269AE57-60F5-47E6-A240-BB5B079E19E0}" name="Puntos6" dataDxfId="36"/>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10000000}" name="Tabla183" displayName="Tabla183" ref="B49:AG50" totalsRowShown="0" headerRowDxfId="35" dataDxfId="34">
  <autoFilter ref="B49:AG50" xr:uid="{00000000-0009-0000-0100-000002000000}"/>
  <tableColumns count="32">
    <tableColumn id="1" xr3:uid="{00000000-0010-0000-1000-000001000000}" name="Q" dataDxfId="33">
      <calculatedColumnFormula>'Factor técnico'!B20</calculatedColumnFormula>
    </tableColumn>
    <tableColumn id="2" xr3:uid="{00000000-0010-0000-1000-000002000000}" name="Puntos" dataDxfId="32">
      <calculatedColumnFormula>'Factor técnico'!C20</calculatedColumnFormula>
    </tableColumn>
    <tableColumn id="3" xr3:uid="{00000000-0010-0000-1000-000003000000}" name="Puntos2" dataDxfId="31">
      <calculatedColumnFormula>Tabla183[[#This Row],[Puntos]]-0.5</calculatedColumnFormula>
    </tableColumn>
    <tableColumn id="4" xr3:uid="{00000000-0010-0000-1000-000004000000}" name="Puntos3" dataDxfId="30">
      <calculatedColumnFormula>Tabla183[[#This Row],[Puntos2]]-0.5</calculatedColumnFormula>
    </tableColumn>
    <tableColumn id="5" xr3:uid="{00000000-0010-0000-1000-000005000000}" name="Puntos4" dataDxfId="29">
      <calculatedColumnFormula>Tabla183[[#This Row],[Puntos3]]-0.5</calculatedColumnFormula>
    </tableColumn>
    <tableColumn id="6" xr3:uid="{00000000-0010-0000-1000-000006000000}" name="Puntos5" dataDxfId="28">
      <calculatedColumnFormula>Tabla183[[#This Row],[Puntos4]]-0.5</calculatedColumnFormula>
    </tableColumn>
    <tableColumn id="7" xr3:uid="{2ED8D702-341F-432C-890F-9EBF46D78685}" name="Puntos6" dataDxfId="27">
      <calculatedColumnFormula>Tabla183[[#This Row],[Puntos5]]-0.5</calculatedColumnFormula>
    </tableColumn>
    <tableColumn id="8" xr3:uid="{180CE2E0-7EA9-46C2-99CF-78B0739C741C}" name="Puntos7" dataDxfId="26">
      <calculatedColumnFormula>Tabla183[[#This Row],[Puntos6]]-0.5</calculatedColumnFormula>
    </tableColumn>
    <tableColumn id="9" xr3:uid="{D52CBD27-073D-49CE-BE97-305BAD75AA54}" name="Puntos8" dataDxfId="25">
      <calculatedColumnFormula>Tabla183[[#This Row],[Puntos7]]-0.5</calculatedColumnFormula>
    </tableColumn>
    <tableColumn id="10" xr3:uid="{BB250704-375A-4FBE-BBE2-298B1FEAF8A7}" name="Puntos9" dataDxfId="24">
      <calculatedColumnFormula>Tabla183[[#This Row],[Puntos8]]-0.5</calculatedColumnFormula>
    </tableColumn>
    <tableColumn id="11" xr3:uid="{FE6197CD-8979-4100-91A5-775F1DC286EC}" name="Puntos10" dataDxfId="23">
      <calculatedColumnFormula>Tabla183[[#This Row],[Puntos9]]-0.5</calculatedColumnFormula>
    </tableColumn>
    <tableColumn id="12" xr3:uid="{04556703-E84F-4EC3-8AFE-FBD46C500C86}" name="Puntos11" dataDxfId="22">
      <calculatedColumnFormula>Tabla183[[#This Row],[Puntos10]]-0.5</calculatedColumnFormula>
    </tableColumn>
    <tableColumn id="13" xr3:uid="{804BED9A-DA23-4C0B-9BF0-6049C9525954}" name="Puntos12" dataDxfId="21">
      <calculatedColumnFormula>Tabla183[[#This Row],[Puntos11]]-0.5</calculatedColumnFormula>
    </tableColumn>
    <tableColumn id="14" xr3:uid="{F3389205-016C-4445-8D92-3C87429317A5}" name="Puntos13" dataDxfId="20">
      <calculatedColumnFormula>Tabla183[[#This Row],[Puntos12]]-0.5</calculatedColumnFormula>
    </tableColumn>
    <tableColumn id="15" xr3:uid="{19F0950D-E9EB-4892-A651-19E5D6B630A5}" name="Puntos14" dataDxfId="19">
      <calculatedColumnFormula>Tabla183[[#This Row],[Puntos13]]-0.5</calculatedColumnFormula>
    </tableColumn>
    <tableColumn id="16" xr3:uid="{1523164C-70E4-4C25-8B44-523BAC750DF2}" name="Puntos15" dataDxfId="18">
      <calculatedColumnFormula>Tabla183[[#This Row],[Puntos14]]-0.5</calculatedColumnFormula>
    </tableColumn>
    <tableColumn id="17" xr3:uid="{CF0253BB-1A45-4248-99A5-FD66EDE4A198}" name="Puntos16" dataDxfId="17">
      <calculatedColumnFormula>Tabla183[[#This Row],[Puntos15]]-0.5</calculatedColumnFormula>
    </tableColumn>
    <tableColumn id="18" xr3:uid="{3CC1772F-D1C8-47F1-84D2-D05891BF2848}" name="Puntos17" dataDxfId="16">
      <calculatedColumnFormula>Tabla183[[#This Row],[Puntos16]]-0.5</calculatedColumnFormula>
    </tableColumn>
    <tableColumn id="19" xr3:uid="{74E26996-9D5F-4368-AA03-875C9A3F7D2A}" name="Puntos18" dataDxfId="15">
      <calculatedColumnFormula>Tabla183[[#This Row],[Puntos17]]-0.5</calculatedColumnFormula>
    </tableColumn>
    <tableColumn id="20" xr3:uid="{1B978B0A-E2FA-4A9E-B990-4F92EC6CC301}" name="Puntos19" dataDxfId="14">
      <calculatedColumnFormula>Tabla183[[#This Row],[Puntos18]]-0.5</calculatedColumnFormula>
    </tableColumn>
    <tableColumn id="21" xr3:uid="{CDF84EF9-8FCF-4EB8-892F-2FF1AB5159F1}" name="Puntos20" dataDxfId="13">
      <calculatedColumnFormula>Tabla183[[#This Row],[Puntos19]]-0.5</calculatedColumnFormula>
    </tableColumn>
    <tableColumn id="22" xr3:uid="{6BE7E393-3F3B-433E-8362-131BC203C587}" name="Puntos21" dataDxfId="12">
      <calculatedColumnFormula>Tabla183[[#This Row],[Puntos20]]-0.5</calculatedColumnFormula>
    </tableColumn>
    <tableColumn id="23" xr3:uid="{C130D7C6-7D3A-468C-B53F-04B2F9B35446}" name="Puntos22" dataDxfId="11">
      <calculatedColumnFormula>Tabla183[[#This Row],[Puntos21]]-0.5</calculatedColumnFormula>
    </tableColumn>
    <tableColumn id="24" xr3:uid="{C2F42F79-E197-4476-91DD-C4158AE280E0}" name="Puntos23" dataDxfId="10">
      <calculatedColumnFormula>Tabla183[[#This Row],[Puntos22]]-0.5</calculatedColumnFormula>
    </tableColumn>
    <tableColumn id="25" xr3:uid="{37757DB4-9CC3-4694-B471-44E6595EB6CD}" name="Puntos24" dataDxfId="9">
      <calculatedColumnFormula>Tabla183[[#This Row],[Puntos23]]-0.5</calculatedColumnFormula>
    </tableColumn>
    <tableColumn id="26" xr3:uid="{ED1DE73A-40D7-4F66-ACC9-EA111E85310D}" name="Puntos25" dataDxfId="8">
      <calculatedColumnFormula>Tabla183[[#This Row],[Puntos24]]-0.5</calculatedColumnFormula>
    </tableColumn>
    <tableColumn id="27" xr3:uid="{85190305-B870-468A-B27E-30798789CFD8}" name="Puntos26" dataDxfId="7">
      <calculatedColumnFormula>Tabla183[[#This Row],[Puntos25]]-0.5</calculatedColumnFormula>
    </tableColumn>
    <tableColumn id="28" xr3:uid="{EB6F8B76-B502-4274-A9AE-E1F5CE60F5AD}" name="Puntos27" dataDxfId="6">
      <calculatedColumnFormula>Tabla183[[#This Row],[Puntos26]]-0.5</calculatedColumnFormula>
    </tableColumn>
    <tableColumn id="29" xr3:uid="{8DC12D84-C0DF-48A9-82F8-A86004A9A9A4}" name="Puntos28" dataDxfId="5">
      <calculatedColumnFormula>Tabla183[[#This Row],[Puntos27]]-0.5</calculatedColumnFormula>
    </tableColumn>
    <tableColumn id="30" xr3:uid="{B65DD4E9-4B40-487A-B509-0774DD58E05C}" name="Puntos29" dataDxfId="4">
      <calculatedColumnFormula>Tabla183[[#This Row],[Puntos28]]-0.5</calculatedColumnFormula>
    </tableColumn>
    <tableColumn id="31" xr3:uid="{C08BABE5-6A00-440C-9797-46D16E299D2F}" name="Puntos30" dataDxfId="3">
      <calculatedColumnFormula>Tabla183[[#This Row],[Puntos29]]-0.5</calculatedColumnFormula>
    </tableColumn>
    <tableColumn id="32" xr3:uid="{4083B4BE-3968-4589-88C8-BF84516A9658}" name="Puntos31" dataDxfId="2">
      <calculatedColumnFormula>Tabla183[[#This Row],[Puntos30]]-0.5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a3" displayName="Tabla3" ref="B1:G2" totalsRowShown="0" headerRowDxfId="183" dataDxfId="182">
  <autoFilter ref="B1:G2" xr:uid="{00000000-0009-0000-0100-000003000000}"/>
  <tableColumns count="6">
    <tableColumn id="1" xr3:uid="{00000000-0010-0000-0000-000001000000}" name="A" dataDxfId="181">
      <calculatedColumnFormula>'Factor técnico'!B4</calculatedColumnFormula>
    </tableColumn>
    <tableColumn id="2" xr3:uid="{00000000-0010-0000-0000-000002000000}" name="Puntos" dataDxfId="180">
      <calculatedColumnFormula>'Factor técnico'!C4</calculatedColumnFormula>
    </tableColumn>
    <tableColumn id="3" xr3:uid="{00000000-0010-0000-0000-000003000000}" name="Puntos2" dataDxfId="179"/>
    <tableColumn id="4" xr3:uid="{00000000-0010-0000-0000-000004000000}" name="Puntos3" dataDxfId="178"/>
    <tableColumn id="5" xr3:uid="{00000000-0010-0000-0000-000005000000}" name="Puntos4" dataDxfId="177"/>
    <tableColumn id="6" xr3:uid="{00000000-0010-0000-0000-000006000000}" name="Puntos5" dataDxfId="17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a4" displayName="Tabla4" ref="B4:G5" totalsRowShown="0" headerRowDxfId="175" dataDxfId="174">
  <autoFilter ref="B4:G5" xr:uid="{00000000-0009-0000-0100-000004000000}"/>
  <tableColumns count="6">
    <tableColumn id="1" xr3:uid="{00000000-0010-0000-0100-000001000000}" name="B" dataDxfId="173">
      <calculatedColumnFormula>'Factor técnico'!B5</calculatedColumnFormula>
    </tableColumn>
    <tableColumn id="2" xr3:uid="{00000000-0010-0000-0100-000002000000}" name="Puntos" dataDxfId="172">
      <calculatedColumnFormula>'Factor técnico'!C5</calculatedColumnFormula>
    </tableColumn>
    <tableColumn id="3" xr3:uid="{00000000-0010-0000-0100-000003000000}" name="Puntos2" dataDxfId="171"/>
    <tableColumn id="4" xr3:uid="{00000000-0010-0000-0100-000004000000}" name="Puntos3" dataDxfId="170"/>
    <tableColumn id="5" xr3:uid="{00000000-0010-0000-0100-000005000000}" name="Puntos4" dataDxfId="169"/>
    <tableColumn id="6" xr3:uid="{00000000-0010-0000-0100-000006000000}" name="Puntos5" dataDxfId="16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a5" displayName="Tabla5" ref="B7:G8" totalsRowShown="0" headerRowDxfId="167" dataDxfId="166">
  <autoFilter ref="B7:G8" xr:uid="{00000000-0009-0000-0100-000005000000}"/>
  <tableColumns count="6">
    <tableColumn id="1" xr3:uid="{00000000-0010-0000-0200-000001000000}" name="C" dataDxfId="165">
      <calculatedColumnFormula>'Factor técnico'!B6</calculatedColumnFormula>
    </tableColumn>
    <tableColumn id="2" xr3:uid="{00000000-0010-0000-0200-000002000000}" name="Puntos" dataDxfId="164">
      <calculatedColumnFormula>'Factor técnico'!C6</calculatedColumnFormula>
    </tableColumn>
    <tableColumn id="3" xr3:uid="{00000000-0010-0000-0200-000003000000}" name="Puntos2" dataDxfId="163"/>
    <tableColumn id="4" xr3:uid="{00000000-0010-0000-0200-000004000000}" name="Puntos3" dataDxfId="162"/>
    <tableColumn id="5" xr3:uid="{00000000-0010-0000-0200-000005000000}" name="Puntos4" dataDxfId="161"/>
    <tableColumn id="6" xr3:uid="{00000000-0010-0000-0200-000006000000}" name="Puntos5" dataDxfId="16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a6" displayName="Tabla6" ref="B10:H11" totalsRowShown="0" headerRowDxfId="159" dataDxfId="158">
  <autoFilter ref="B10:H11" xr:uid="{00000000-0009-0000-0100-000006000000}"/>
  <tableColumns count="7">
    <tableColumn id="1" xr3:uid="{00000000-0010-0000-0300-000001000000}" name="D" dataDxfId="157">
      <calculatedColumnFormula>'Factor técnico'!B7</calculatedColumnFormula>
    </tableColumn>
    <tableColumn id="2" xr3:uid="{00000000-0010-0000-0300-000002000000}" name="Puntos" dataDxfId="156">
      <calculatedColumnFormula>'Factor técnico'!C7</calculatedColumnFormula>
    </tableColumn>
    <tableColumn id="3" xr3:uid="{00000000-0010-0000-0300-000003000000}" name="Puntos2" dataDxfId="155"/>
    <tableColumn id="4" xr3:uid="{00000000-0010-0000-0300-000004000000}" name="Puntos3" dataDxfId="154"/>
    <tableColumn id="5" xr3:uid="{00000000-0010-0000-0300-000005000000}" name="Puntos4" dataDxfId="153"/>
    <tableColumn id="6" xr3:uid="{00000000-0010-0000-0300-000006000000}" name="Puntos5" dataDxfId="152"/>
    <tableColumn id="7" xr3:uid="{4F8F5A9E-B7C1-429C-8C05-834A3F9994C9}" name="Puntos6" dataDxfId="15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a7" displayName="Tabla7" ref="B13:G14" totalsRowShown="0" headerRowDxfId="150" dataDxfId="149">
  <autoFilter ref="B13:G14" xr:uid="{00000000-0009-0000-0100-000007000000}"/>
  <tableColumns count="6">
    <tableColumn id="1" xr3:uid="{00000000-0010-0000-0400-000001000000}" name="E" dataDxfId="148">
      <calculatedColumnFormula>'Factor técnico'!B8</calculatedColumnFormula>
    </tableColumn>
    <tableColumn id="2" xr3:uid="{00000000-0010-0000-0400-000002000000}" name="Puntos" dataDxfId="147">
      <calculatedColumnFormula>'Factor técnico'!C8</calculatedColumnFormula>
    </tableColumn>
    <tableColumn id="3" xr3:uid="{00000000-0010-0000-0400-000003000000}" name="Puntos2" dataDxfId="146"/>
    <tableColumn id="4" xr3:uid="{00000000-0010-0000-0400-000004000000}" name="Puntos3" dataDxfId="145"/>
    <tableColumn id="5" xr3:uid="{00000000-0010-0000-0400-000005000000}" name="Puntos4" dataDxfId="144"/>
    <tableColumn id="6" xr3:uid="{00000000-0010-0000-0400-000006000000}" name="Puntos5" dataDxfId="14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a8" displayName="Tabla8" ref="B16:G17" totalsRowShown="0" headerRowDxfId="142" dataDxfId="141">
  <autoFilter ref="B16:G17" xr:uid="{00000000-0009-0000-0100-000008000000}"/>
  <tableColumns count="6">
    <tableColumn id="1" xr3:uid="{00000000-0010-0000-0500-000001000000}" name="F" dataDxfId="140">
      <calculatedColumnFormula>'Factor técnico'!B9</calculatedColumnFormula>
    </tableColumn>
    <tableColumn id="2" xr3:uid="{00000000-0010-0000-0500-000002000000}" name="Puntos" dataDxfId="139">
      <calculatedColumnFormula>'Factor técnico'!C9</calculatedColumnFormula>
    </tableColumn>
    <tableColumn id="3" xr3:uid="{00000000-0010-0000-0500-000003000000}" name="Puntos2" dataDxfId="138"/>
    <tableColumn id="4" xr3:uid="{00000000-0010-0000-0500-000004000000}" name="Puntos3" dataDxfId="137"/>
    <tableColumn id="5" xr3:uid="{00000000-0010-0000-0500-000005000000}" name="Puntos4" dataDxfId="136"/>
    <tableColumn id="6" xr3:uid="{00000000-0010-0000-0500-000006000000}" name="Puntos5" dataDxfId="135"/>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a9" displayName="Tabla9" ref="B19:I20" totalsRowShown="0" headerRowDxfId="134" dataDxfId="133">
  <autoFilter ref="B19:I20" xr:uid="{00000000-0009-0000-0100-000009000000}"/>
  <tableColumns count="8">
    <tableColumn id="1" xr3:uid="{00000000-0010-0000-0600-000001000000}" name="G" dataDxfId="132">
      <calculatedColumnFormula>'Factor técnico'!B10</calculatedColumnFormula>
    </tableColumn>
    <tableColumn id="2" xr3:uid="{00000000-0010-0000-0600-000002000000}" name="Puntos" dataDxfId="131">
      <calculatedColumnFormula>'Factor técnico'!C10</calculatedColumnFormula>
    </tableColumn>
    <tableColumn id="3" xr3:uid="{00000000-0010-0000-0600-000003000000}" name="Puntos2" dataDxfId="130"/>
    <tableColumn id="4" xr3:uid="{00000000-0010-0000-0600-000004000000}" name="Puntos3" dataDxfId="129"/>
    <tableColumn id="5" xr3:uid="{00000000-0010-0000-0600-000005000000}" name="Puntos4" dataDxfId="128"/>
    <tableColumn id="6" xr3:uid="{00000000-0010-0000-0600-000006000000}" name="Puntos5" dataDxfId="127"/>
    <tableColumn id="7" xr3:uid="{357F7394-43C3-4005-AC94-AF2A8F4A0FA8}" name="Puntos6" dataDxfId="126"/>
    <tableColumn id="8" xr3:uid="{D114943D-4A41-4A1B-A574-B960B66889B8}" name="Puntos7" dataDxfId="125"/>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a10" displayName="Tabla10" ref="B22:G23" totalsRowShown="0" headerRowDxfId="124" dataDxfId="123">
  <autoFilter ref="B22:G23" xr:uid="{00000000-0009-0000-0100-00000A000000}"/>
  <tableColumns count="6">
    <tableColumn id="1" xr3:uid="{00000000-0010-0000-0700-000001000000}" name="H" dataDxfId="122">
      <calculatedColumnFormula>'Factor técnico'!B11</calculatedColumnFormula>
    </tableColumn>
    <tableColumn id="2" xr3:uid="{00000000-0010-0000-0700-000002000000}" name="Puntos" dataDxfId="121">
      <calculatedColumnFormula>'Factor técnico'!C11</calculatedColumnFormula>
    </tableColumn>
    <tableColumn id="3" xr3:uid="{00000000-0010-0000-0700-000003000000}" name="Puntos2" dataDxfId="120"/>
    <tableColumn id="4" xr3:uid="{00000000-0010-0000-0700-000004000000}" name="Puntos3" dataDxfId="119"/>
    <tableColumn id="5" xr3:uid="{00000000-0010-0000-0700-000005000000}" name="Puntos4" dataDxfId="118"/>
    <tableColumn id="6" xr3:uid="{00000000-0010-0000-0700-000006000000}" name="Puntos5" dataDxfId="117"/>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table" Target="../tables/table9.xml"/><Relationship Id="rId13" Type="http://schemas.openxmlformats.org/officeDocument/2006/relationships/table" Target="../tables/table14.xml"/><Relationship Id="rId3" Type="http://schemas.openxmlformats.org/officeDocument/2006/relationships/table" Target="../tables/table4.xml"/><Relationship Id="rId7" Type="http://schemas.openxmlformats.org/officeDocument/2006/relationships/table" Target="../tables/table8.xml"/><Relationship Id="rId12" Type="http://schemas.openxmlformats.org/officeDocument/2006/relationships/table" Target="../tables/table13.xml"/><Relationship Id="rId17" Type="http://schemas.openxmlformats.org/officeDocument/2006/relationships/table" Target="../tables/table18.xml"/><Relationship Id="rId2" Type="http://schemas.openxmlformats.org/officeDocument/2006/relationships/table" Target="../tables/table3.xml"/><Relationship Id="rId16" Type="http://schemas.openxmlformats.org/officeDocument/2006/relationships/table" Target="../tables/table17.xml"/><Relationship Id="rId1" Type="http://schemas.openxmlformats.org/officeDocument/2006/relationships/table" Target="../tables/table2.xml"/><Relationship Id="rId6" Type="http://schemas.openxmlformats.org/officeDocument/2006/relationships/table" Target="../tables/table7.xml"/><Relationship Id="rId11" Type="http://schemas.openxmlformats.org/officeDocument/2006/relationships/table" Target="../tables/table12.xml"/><Relationship Id="rId5" Type="http://schemas.openxmlformats.org/officeDocument/2006/relationships/table" Target="../tables/table6.xml"/><Relationship Id="rId15" Type="http://schemas.openxmlformats.org/officeDocument/2006/relationships/table" Target="../tables/table1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 Id="rId14" Type="http://schemas.openxmlformats.org/officeDocument/2006/relationships/table" Target="../tables/table15.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5EF06-6C65-42B0-B587-29A673EF51B3}">
  <dimension ref="A1:O78"/>
  <sheetViews>
    <sheetView zoomScale="60" zoomScaleNormal="60" workbookViewId="0">
      <selection activeCell="M7" sqref="M7"/>
    </sheetView>
  </sheetViews>
  <sheetFormatPr baseColWidth="10" defaultColWidth="11.453125" defaultRowHeight="15" customHeight="1" x14ac:dyDescent="0.35"/>
  <cols>
    <col min="1" max="1" width="23.26953125" style="124" customWidth="1"/>
    <col min="2" max="2" width="73.81640625" style="124" customWidth="1"/>
    <col min="3" max="3" width="17.7265625" style="124" customWidth="1"/>
    <col min="4" max="4" width="16.54296875" style="124" customWidth="1"/>
    <col min="5" max="5" width="24.7265625" style="125" customWidth="1"/>
    <col min="6" max="6" width="27.26953125" style="124" customWidth="1"/>
    <col min="7" max="7" width="23" style="124" customWidth="1"/>
    <col min="8" max="8" width="18.7265625" style="124" customWidth="1"/>
    <col min="9" max="9" width="21.453125" style="124" customWidth="1"/>
    <col min="10" max="10" width="15.7265625" style="124" customWidth="1"/>
    <col min="11" max="11" width="17.453125" style="124" customWidth="1"/>
    <col min="12" max="12" width="21.7265625" style="124" customWidth="1"/>
    <col min="13" max="13" width="31.7265625" style="124" customWidth="1"/>
    <col min="14" max="14" width="25.26953125" style="124" customWidth="1"/>
    <col min="15" max="15" width="9.54296875" style="124" customWidth="1"/>
    <col min="16" max="16384" width="11.453125" style="124"/>
  </cols>
  <sheetData>
    <row r="1" spans="1:15" ht="48" customHeight="1" thickBot="1" x14ac:dyDescent="0.4">
      <c r="A1" s="217" t="s">
        <v>0</v>
      </c>
      <c r="B1" s="218"/>
      <c r="C1" s="219"/>
      <c r="D1" s="219"/>
      <c r="E1" s="219"/>
      <c r="F1" s="219"/>
      <c r="G1" s="219"/>
      <c r="H1" s="219"/>
      <c r="I1" s="219"/>
      <c r="J1" s="219"/>
      <c r="K1" s="219"/>
      <c r="L1" s="219"/>
      <c r="M1" s="219"/>
      <c r="N1" s="220"/>
      <c r="O1" s="174"/>
    </row>
    <row r="2" spans="1:15" ht="15.75" customHeight="1" x14ac:dyDescent="0.35">
      <c r="A2" s="208"/>
      <c r="B2" s="209"/>
      <c r="C2" s="235" t="s">
        <v>1</v>
      </c>
      <c r="D2" s="235"/>
      <c r="E2" s="235"/>
      <c r="F2" s="235"/>
      <c r="G2" s="235"/>
      <c r="H2" s="235" t="s">
        <v>2</v>
      </c>
      <c r="I2" s="235"/>
      <c r="J2" s="235"/>
      <c r="K2" s="235"/>
      <c r="L2" s="235"/>
      <c r="M2" s="235"/>
      <c r="N2" s="236"/>
      <c r="O2" s="174"/>
    </row>
    <row r="3" spans="1:15" ht="71.25" customHeight="1" x14ac:dyDescent="0.35">
      <c r="A3" s="206" t="s">
        <v>3</v>
      </c>
      <c r="B3" s="207"/>
      <c r="C3" s="210" t="s">
        <v>6</v>
      </c>
      <c r="D3" s="210"/>
      <c r="E3" s="210"/>
      <c r="F3" s="213" t="s">
        <v>4</v>
      </c>
      <c r="G3" s="213" t="s">
        <v>5</v>
      </c>
      <c r="H3" s="210" t="s">
        <v>7</v>
      </c>
      <c r="I3" s="210"/>
      <c r="J3" s="210"/>
      <c r="K3" s="210"/>
      <c r="L3" s="210"/>
      <c r="M3" s="231" t="s">
        <v>4</v>
      </c>
      <c r="N3" s="233" t="s">
        <v>5</v>
      </c>
      <c r="O3" s="174"/>
    </row>
    <row r="4" spans="1:15" ht="78" customHeight="1" x14ac:dyDescent="0.35">
      <c r="A4" s="208"/>
      <c r="B4" s="209"/>
      <c r="C4" s="121" t="s">
        <v>9</v>
      </c>
      <c r="D4" s="121" t="s">
        <v>10</v>
      </c>
      <c r="E4" s="215" t="s">
        <v>8</v>
      </c>
      <c r="F4" s="214"/>
      <c r="G4" s="214"/>
      <c r="H4" s="121" t="s">
        <v>11</v>
      </c>
      <c r="I4" s="121" t="s">
        <v>12</v>
      </c>
      <c r="J4" s="121" t="s">
        <v>13</v>
      </c>
      <c r="K4" s="121" t="s">
        <v>14</v>
      </c>
      <c r="L4" s="211" t="s">
        <v>8</v>
      </c>
      <c r="M4" s="232"/>
      <c r="N4" s="234"/>
      <c r="O4" s="174"/>
    </row>
    <row r="5" spans="1:15" thickBot="1" x14ac:dyDescent="0.4">
      <c r="A5" s="159" t="s">
        <v>15</v>
      </c>
      <c r="B5" s="167" t="s">
        <v>16</v>
      </c>
      <c r="C5" s="158" t="s">
        <v>17</v>
      </c>
      <c r="D5" s="158" t="s">
        <v>17</v>
      </c>
      <c r="E5" s="216"/>
      <c r="F5" s="214"/>
      <c r="G5" s="214"/>
      <c r="H5" s="157" t="s">
        <v>17</v>
      </c>
      <c r="I5" s="157" t="s">
        <v>17</v>
      </c>
      <c r="J5" s="157" t="s">
        <v>17</v>
      </c>
      <c r="K5" s="157" t="s">
        <v>17</v>
      </c>
      <c r="L5" s="212"/>
      <c r="M5" s="232"/>
      <c r="N5" s="234"/>
      <c r="O5" s="174"/>
    </row>
    <row r="6" spans="1:15" ht="169.5" customHeight="1" x14ac:dyDescent="0.35">
      <c r="A6" s="175" t="s">
        <v>18</v>
      </c>
      <c r="B6" s="176" t="s">
        <v>19</v>
      </c>
      <c r="C6" s="221" t="s">
        <v>20</v>
      </c>
      <c r="D6" s="222"/>
      <c r="E6" s="169" t="s">
        <v>22</v>
      </c>
      <c r="F6" s="168" t="s">
        <v>23</v>
      </c>
      <c r="G6" s="170" t="s">
        <v>21</v>
      </c>
      <c r="H6" s="228" t="s">
        <v>20</v>
      </c>
      <c r="I6" s="229"/>
      <c r="J6" s="229"/>
      <c r="K6" s="230"/>
      <c r="L6" s="171" t="s">
        <v>24</v>
      </c>
      <c r="M6" s="171" t="s">
        <v>25</v>
      </c>
      <c r="N6" s="172" t="s">
        <v>21</v>
      </c>
      <c r="O6" s="174"/>
    </row>
    <row r="7" spans="1:15" ht="183" customHeight="1" x14ac:dyDescent="0.35">
      <c r="A7" s="175" t="s">
        <v>26</v>
      </c>
      <c r="B7" s="176" t="s">
        <v>27</v>
      </c>
      <c r="C7" s="223" t="s">
        <v>20</v>
      </c>
      <c r="D7" s="224"/>
      <c r="E7" s="128" t="s">
        <v>28</v>
      </c>
      <c r="F7" s="128" t="s">
        <v>29</v>
      </c>
      <c r="G7" s="126" t="s">
        <v>21</v>
      </c>
      <c r="H7" s="136" t="s">
        <v>20</v>
      </c>
      <c r="I7" s="135" t="s">
        <v>20</v>
      </c>
      <c r="J7" s="135" t="s">
        <v>20</v>
      </c>
      <c r="K7" s="135" t="s">
        <v>20</v>
      </c>
      <c r="L7" s="135" t="s">
        <v>30</v>
      </c>
      <c r="M7" s="135" t="s">
        <v>31</v>
      </c>
      <c r="N7" s="163" t="s">
        <v>21</v>
      </c>
      <c r="O7" s="174"/>
    </row>
    <row r="8" spans="1:15" ht="58" x14ac:dyDescent="0.35">
      <c r="A8" s="198" t="s">
        <v>32</v>
      </c>
      <c r="B8" s="176" t="s">
        <v>33</v>
      </c>
      <c r="C8" s="127" t="s">
        <v>20</v>
      </c>
      <c r="D8" s="129" t="s">
        <v>20</v>
      </c>
      <c r="E8" s="127" t="s">
        <v>34</v>
      </c>
      <c r="F8" s="127" t="s">
        <v>35</v>
      </c>
      <c r="G8" s="130" t="s">
        <v>21</v>
      </c>
      <c r="H8" s="136" t="s">
        <v>20</v>
      </c>
      <c r="I8" s="149" t="s">
        <v>20</v>
      </c>
      <c r="J8" s="149" t="s">
        <v>20</v>
      </c>
      <c r="K8" s="149" t="s">
        <v>20</v>
      </c>
      <c r="L8" s="149" t="s">
        <v>36</v>
      </c>
      <c r="M8" s="149" t="s">
        <v>37</v>
      </c>
      <c r="N8" s="163" t="s">
        <v>21</v>
      </c>
      <c r="O8" s="174"/>
    </row>
    <row r="9" spans="1:15" ht="64.5" customHeight="1" x14ac:dyDescent="0.35">
      <c r="A9" s="200"/>
      <c r="B9" s="176" t="s">
        <v>38</v>
      </c>
      <c r="C9" s="123" t="s">
        <v>40</v>
      </c>
      <c r="D9" s="123" t="s">
        <v>20</v>
      </c>
      <c r="E9" s="123" t="s">
        <v>41</v>
      </c>
      <c r="F9" s="123" t="s">
        <v>39</v>
      </c>
      <c r="G9" s="126" t="s">
        <v>21</v>
      </c>
      <c r="H9" s="136" t="s">
        <v>20</v>
      </c>
      <c r="I9" s="135" t="s">
        <v>40</v>
      </c>
      <c r="J9" s="135" t="s">
        <v>40</v>
      </c>
      <c r="K9" s="135" t="s">
        <v>40</v>
      </c>
      <c r="L9" s="135" t="s">
        <v>42</v>
      </c>
      <c r="M9" s="135" t="s">
        <v>39</v>
      </c>
      <c r="N9" s="163" t="s">
        <v>21</v>
      </c>
      <c r="O9" s="174"/>
    </row>
    <row r="10" spans="1:15" ht="55.5" customHeight="1" x14ac:dyDescent="0.35">
      <c r="A10" s="175" t="s">
        <v>43</v>
      </c>
      <c r="B10" s="176" t="s">
        <v>44</v>
      </c>
      <c r="C10" s="127" t="s">
        <v>20</v>
      </c>
      <c r="D10" s="123" t="s">
        <v>20</v>
      </c>
      <c r="E10" s="131" t="s">
        <v>45</v>
      </c>
      <c r="F10" s="131" t="s">
        <v>39</v>
      </c>
      <c r="G10" s="130" t="s">
        <v>21</v>
      </c>
      <c r="H10" s="136" t="s">
        <v>20</v>
      </c>
      <c r="I10" s="135" t="s">
        <v>20</v>
      </c>
      <c r="J10" s="135" t="s">
        <v>20</v>
      </c>
      <c r="K10" s="135" t="s">
        <v>20</v>
      </c>
      <c r="L10" s="135" t="s">
        <v>46</v>
      </c>
      <c r="M10" s="137" t="s">
        <v>39</v>
      </c>
      <c r="N10" s="163" t="s">
        <v>21</v>
      </c>
      <c r="O10" s="174"/>
    </row>
    <row r="11" spans="1:15" ht="357.75" customHeight="1" x14ac:dyDescent="0.35">
      <c r="A11" s="175" t="s">
        <v>47</v>
      </c>
      <c r="B11" s="176" t="s">
        <v>48</v>
      </c>
      <c r="C11" s="127" t="s">
        <v>20</v>
      </c>
      <c r="D11" s="123" t="s">
        <v>20</v>
      </c>
      <c r="E11" s="123" t="s">
        <v>49</v>
      </c>
      <c r="F11" s="123" t="s">
        <v>50</v>
      </c>
      <c r="G11" s="130" t="s">
        <v>21</v>
      </c>
      <c r="H11" s="136" t="s">
        <v>20</v>
      </c>
      <c r="I11" s="135" t="s">
        <v>20</v>
      </c>
      <c r="J11" s="135" t="s">
        <v>20</v>
      </c>
      <c r="K11" s="135" t="s">
        <v>20</v>
      </c>
      <c r="L11" s="135" t="s">
        <v>51</v>
      </c>
      <c r="M11" s="135" t="s">
        <v>52</v>
      </c>
      <c r="N11" s="163" t="s">
        <v>21</v>
      </c>
      <c r="O11" s="174"/>
    </row>
    <row r="12" spans="1:15" ht="103.5" customHeight="1" x14ac:dyDescent="0.35">
      <c r="A12" s="175" t="s">
        <v>53</v>
      </c>
      <c r="B12" s="176" t="s">
        <v>54</v>
      </c>
      <c r="C12" s="178" t="s">
        <v>20</v>
      </c>
      <c r="D12" s="178" t="s">
        <v>20</v>
      </c>
      <c r="E12" s="179" t="s">
        <v>55</v>
      </c>
      <c r="F12" s="178" t="s">
        <v>56</v>
      </c>
      <c r="G12" s="126" t="s">
        <v>21</v>
      </c>
      <c r="H12" s="136" t="s">
        <v>20</v>
      </c>
      <c r="I12" s="136" t="s">
        <v>20</v>
      </c>
      <c r="J12" s="136" t="s">
        <v>20</v>
      </c>
      <c r="K12" s="136" t="s">
        <v>20</v>
      </c>
      <c r="L12" s="180" t="s">
        <v>57</v>
      </c>
      <c r="M12" s="180" t="s">
        <v>58</v>
      </c>
      <c r="N12" s="163" t="s">
        <v>21</v>
      </c>
      <c r="O12" s="174"/>
    </row>
    <row r="13" spans="1:15" ht="72.5" x14ac:dyDescent="0.35">
      <c r="A13" s="160">
        <v>1</v>
      </c>
      <c r="B13" s="176" t="s">
        <v>59</v>
      </c>
      <c r="C13" s="127" t="s">
        <v>20</v>
      </c>
      <c r="D13" s="127" t="s">
        <v>20</v>
      </c>
      <c r="E13" s="132" t="s">
        <v>60</v>
      </c>
      <c r="F13" s="178" t="s">
        <v>39</v>
      </c>
      <c r="G13" s="126" t="s">
        <v>21</v>
      </c>
      <c r="H13" s="136" t="s">
        <v>20</v>
      </c>
      <c r="I13" s="135" t="s">
        <v>20</v>
      </c>
      <c r="J13" s="135" t="s">
        <v>20</v>
      </c>
      <c r="K13" s="135" t="s">
        <v>20</v>
      </c>
      <c r="L13" s="137" t="s">
        <v>61</v>
      </c>
      <c r="M13" s="180" t="s">
        <v>39</v>
      </c>
      <c r="N13" s="163" t="s">
        <v>21</v>
      </c>
      <c r="O13" s="174"/>
    </row>
    <row r="14" spans="1:15" ht="58" x14ac:dyDescent="0.35">
      <c r="A14" s="160">
        <f>A13+1</f>
        <v>2</v>
      </c>
      <c r="B14" s="176" t="s">
        <v>62</v>
      </c>
      <c r="C14" s="127" t="s">
        <v>20</v>
      </c>
      <c r="D14" s="127" t="s">
        <v>20</v>
      </c>
      <c r="E14" s="133" t="s">
        <v>63</v>
      </c>
      <c r="F14" s="178" t="s">
        <v>39</v>
      </c>
      <c r="G14" s="126" t="s">
        <v>21</v>
      </c>
      <c r="H14" s="138" t="s">
        <v>20</v>
      </c>
      <c r="I14" s="139" t="s">
        <v>20</v>
      </c>
      <c r="J14" s="139" t="s">
        <v>20</v>
      </c>
      <c r="K14" s="139" t="s">
        <v>20</v>
      </c>
      <c r="L14" s="140" t="s">
        <v>64</v>
      </c>
      <c r="M14" s="180" t="s">
        <v>39</v>
      </c>
      <c r="N14" s="163" t="s">
        <v>21</v>
      </c>
      <c r="O14" s="174"/>
    </row>
    <row r="15" spans="1:15" ht="58" x14ac:dyDescent="0.35">
      <c r="A15" s="160">
        <f>A14+1</f>
        <v>3</v>
      </c>
      <c r="B15" s="176" t="s">
        <v>65</v>
      </c>
      <c r="C15" s="127" t="s">
        <v>20</v>
      </c>
      <c r="D15" s="127" t="s">
        <v>20</v>
      </c>
      <c r="E15" s="133" t="s">
        <v>63</v>
      </c>
      <c r="F15" s="178" t="s">
        <v>39</v>
      </c>
      <c r="G15" s="126" t="s">
        <v>21</v>
      </c>
      <c r="H15" s="138" t="s">
        <v>20</v>
      </c>
      <c r="I15" s="139" t="s">
        <v>20</v>
      </c>
      <c r="J15" s="139" t="s">
        <v>20</v>
      </c>
      <c r="K15" s="139" t="s">
        <v>20</v>
      </c>
      <c r="L15" s="140" t="s">
        <v>64</v>
      </c>
      <c r="M15" s="180" t="s">
        <v>39</v>
      </c>
      <c r="N15" s="163" t="s">
        <v>21</v>
      </c>
      <c r="O15" s="174"/>
    </row>
    <row r="16" spans="1:15" ht="58" x14ac:dyDescent="0.35">
      <c r="A16" s="160">
        <f t="shared" ref="A16:A52" si="0">A15+1</f>
        <v>4</v>
      </c>
      <c r="B16" s="176" t="s">
        <v>66</v>
      </c>
      <c r="C16" s="127" t="s">
        <v>20</v>
      </c>
      <c r="D16" s="127" t="s">
        <v>20</v>
      </c>
      <c r="E16" s="133" t="s">
        <v>63</v>
      </c>
      <c r="F16" s="178" t="s">
        <v>39</v>
      </c>
      <c r="G16" s="126" t="s">
        <v>21</v>
      </c>
      <c r="H16" s="138" t="s">
        <v>20</v>
      </c>
      <c r="I16" s="139" t="s">
        <v>20</v>
      </c>
      <c r="J16" s="139" t="s">
        <v>20</v>
      </c>
      <c r="K16" s="139" t="s">
        <v>20</v>
      </c>
      <c r="L16" s="140" t="s">
        <v>64</v>
      </c>
      <c r="M16" s="180" t="s">
        <v>39</v>
      </c>
      <c r="N16" s="163" t="s">
        <v>21</v>
      </c>
      <c r="O16" s="174"/>
    </row>
    <row r="17" spans="1:15" ht="58" x14ac:dyDescent="0.35">
      <c r="A17" s="160">
        <f t="shared" si="0"/>
        <v>5</v>
      </c>
      <c r="B17" s="176" t="s">
        <v>67</v>
      </c>
      <c r="C17" s="127" t="s">
        <v>20</v>
      </c>
      <c r="D17" s="127" t="s">
        <v>20</v>
      </c>
      <c r="E17" s="133" t="s">
        <v>63</v>
      </c>
      <c r="F17" s="178" t="s">
        <v>39</v>
      </c>
      <c r="G17" s="126" t="s">
        <v>21</v>
      </c>
      <c r="H17" s="138" t="s">
        <v>20</v>
      </c>
      <c r="I17" s="139" t="s">
        <v>20</v>
      </c>
      <c r="J17" s="139" t="s">
        <v>20</v>
      </c>
      <c r="K17" s="139" t="s">
        <v>20</v>
      </c>
      <c r="L17" s="140" t="s">
        <v>64</v>
      </c>
      <c r="M17" s="180" t="s">
        <v>39</v>
      </c>
      <c r="N17" s="163" t="s">
        <v>21</v>
      </c>
      <c r="O17" s="174"/>
    </row>
    <row r="18" spans="1:15" ht="58" x14ac:dyDescent="0.35">
      <c r="A18" s="160">
        <f t="shared" si="0"/>
        <v>6</v>
      </c>
      <c r="B18" s="176" t="s">
        <v>68</v>
      </c>
      <c r="C18" s="127" t="s">
        <v>20</v>
      </c>
      <c r="D18" s="127" t="s">
        <v>20</v>
      </c>
      <c r="E18" s="133" t="s">
        <v>69</v>
      </c>
      <c r="F18" s="178" t="s">
        <v>39</v>
      </c>
      <c r="G18" s="126" t="s">
        <v>21</v>
      </c>
      <c r="H18" s="141" t="s">
        <v>20</v>
      </c>
      <c r="I18" s="140" t="s">
        <v>20</v>
      </c>
      <c r="J18" s="140" t="s">
        <v>21</v>
      </c>
      <c r="K18" s="140" t="s">
        <v>20</v>
      </c>
      <c r="L18" s="140" t="s">
        <v>70</v>
      </c>
      <c r="M18" s="180" t="s">
        <v>39</v>
      </c>
      <c r="N18" s="163" t="s">
        <v>21</v>
      </c>
      <c r="O18" s="174"/>
    </row>
    <row r="19" spans="1:15" ht="58" x14ac:dyDescent="0.35">
      <c r="A19" s="160">
        <f t="shared" si="0"/>
        <v>7</v>
      </c>
      <c r="B19" s="176" t="s">
        <v>71</v>
      </c>
      <c r="C19" s="127" t="s">
        <v>20</v>
      </c>
      <c r="D19" s="127" t="s">
        <v>20</v>
      </c>
      <c r="E19" s="133" t="s">
        <v>69</v>
      </c>
      <c r="F19" s="178" t="s">
        <v>39</v>
      </c>
      <c r="G19" s="126" t="s">
        <v>21</v>
      </c>
      <c r="H19" s="141" t="s">
        <v>20</v>
      </c>
      <c r="I19" s="140" t="s">
        <v>20</v>
      </c>
      <c r="J19" s="140" t="s">
        <v>21</v>
      </c>
      <c r="K19" s="140" t="s">
        <v>20</v>
      </c>
      <c r="L19" s="140" t="s">
        <v>70</v>
      </c>
      <c r="M19" s="180" t="s">
        <v>39</v>
      </c>
      <c r="N19" s="163" t="s">
        <v>21</v>
      </c>
      <c r="O19" s="174"/>
    </row>
    <row r="20" spans="1:15" ht="72.5" x14ac:dyDescent="0.35">
      <c r="A20" s="160">
        <f t="shared" si="0"/>
        <v>8</v>
      </c>
      <c r="B20" s="176" t="s">
        <v>72</v>
      </c>
      <c r="C20" s="127" t="s">
        <v>20</v>
      </c>
      <c r="D20" s="127" t="s">
        <v>20</v>
      </c>
      <c r="E20" s="133" t="s">
        <v>69</v>
      </c>
      <c r="F20" s="178" t="s">
        <v>39</v>
      </c>
      <c r="G20" s="126" t="s">
        <v>21</v>
      </c>
      <c r="H20" s="141" t="s">
        <v>21</v>
      </c>
      <c r="I20" s="140" t="s">
        <v>20</v>
      </c>
      <c r="J20" s="140" t="s">
        <v>21</v>
      </c>
      <c r="K20" s="140" t="s">
        <v>20</v>
      </c>
      <c r="L20" s="140" t="s">
        <v>73</v>
      </c>
      <c r="M20" s="180" t="s">
        <v>39</v>
      </c>
      <c r="N20" s="163" t="s">
        <v>21</v>
      </c>
      <c r="O20" s="174"/>
    </row>
    <row r="21" spans="1:15" ht="72.5" x14ac:dyDescent="0.35">
      <c r="A21" s="160">
        <f t="shared" si="0"/>
        <v>9</v>
      </c>
      <c r="B21" s="176" t="s">
        <v>74</v>
      </c>
      <c r="C21" s="127" t="s">
        <v>20</v>
      </c>
      <c r="D21" s="127" t="s">
        <v>20</v>
      </c>
      <c r="E21" s="133" t="s">
        <v>69</v>
      </c>
      <c r="F21" s="178" t="s">
        <v>39</v>
      </c>
      <c r="G21" s="126" t="s">
        <v>21</v>
      </c>
      <c r="H21" s="141" t="s">
        <v>21</v>
      </c>
      <c r="I21" s="140" t="s">
        <v>21</v>
      </c>
      <c r="J21" s="140" t="s">
        <v>21</v>
      </c>
      <c r="K21" s="140" t="s">
        <v>20</v>
      </c>
      <c r="L21" s="140" t="s">
        <v>75</v>
      </c>
      <c r="M21" s="180" t="s">
        <v>39</v>
      </c>
      <c r="N21" s="163" t="s">
        <v>21</v>
      </c>
      <c r="O21" s="174"/>
    </row>
    <row r="22" spans="1:15" ht="72.5" x14ac:dyDescent="0.35">
      <c r="A22" s="160">
        <f t="shared" si="0"/>
        <v>10</v>
      </c>
      <c r="B22" s="176" t="s">
        <v>76</v>
      </c>
      <c r="C22" s="127" t="s">
        <v>20</v>
      </c>
      <c r="D22" s="127" t="s">
        <v>20</v>
      </c>
      <c r="E22" s="133" t="s">
        <v>77</v>
      </c>
      <c r="F22" s="178" t="s">
        <v>39</v>
      </c>
      <c r="G22" s="126" t="s">
        <v>21</v>
      </c>
      <c r="H22" s="138" t="s">
        <v>20</v>
      </c>
      <c r="I22" s="139" t="s">
        <v>20</v>
      </c>
      <c r="J22" s="139" t="s">
        <v>21</v>
      </c>
      <c r="K22" s="139" t="s">
        <v>20</v>
      </c>
      <c r="L22" s="140" t="s">
        <v>78</v>
      </c>
      <c r="M22" s="180" t="s">
        <v>39</v>
      </c>
      <c r="N22" s="163" t="s">
        <v>21</v>
      </c>
      <c r="O22" s="174"/>
    </row>
    <row r="23" spans="1:15" ht="72.5" x14ac:dyDescent="0.35">
      <c r="A23" s="160">
        <f t="shared" si="0"/>
        <v>11</v>
      </c>
      <c r="B23" s="176" t="s">
        <v>79</v>
      </c>
      <c r="C23" s="127" t="s">
        <v>20</v>
      </c>
      <c r="D23" s="127" t="s">
        <v>20</v>
      </c>
      <c r="E23" s="133" t="s">
        <v>80</v>
      </c>
      <c r="F23" s="178" t="s">
        <v>39</v>
      </c>
      <c r="G23" s="126" t="s">
        <v>21</v>
      </c>
      <c r="H23" s="138" t="s">
        <v>20</v>
      </c>
      <c r="I23" s="139" t="s">
        <v>20</v>
      </c>
      <c r="J23" s="139" t="s">
        <v>20</v>
      </c>
      <c r="K23" s="139" t="s">
        <v>20</v>
      </c>
      <c r="L23" s="140" t="s">
        <v>81</v>
      </c>
      <c r="M23" s="180" t="s">
        <v>39</v>
      </c>
      <c r="N23" s="163" t="s">
        <v>21</v>
      </c>
      <c r="O23" s="174"/>
    </row>
    <row r="24" spans="1:15" ht="58" x14ac:dyDescent="0.35">
      <c r="A24" s="160">
        <f t="shared" si="0"/>
        <v>12</v>
      </c>
      <c r="B24" s="176" t="s">
        <v>82</v>
      </c>
      <c r="C24" s="127" t="s">
        <v>20</v>
      </c>
      <c r="D24" s="127" t="s">
        <v>20</v>
      </c>
      <c r="E24" s="133" t="s">
        <v>83</v>
      </c>
      <c r="F24" s="178" t="s">
        <v>39</v>
      </c>
      <c r="G24" s="126" t="s">
        <v>21</v>
      </c>
      <c r="H24" s="138" t="s">
        <v>20</v>
      </c>
      <c r="I24" s="139" t="s">
        <v>20</v>
      </c>
      <c r="J24" s="139" t="s">
        <v>20</v>
      </c>
      <c r="K24" s="139" t="s">
        <v>21</v>
      </c>
      <c r="L24" s="140" t="s">
        <v>84</v>
      </c>
      <c r="M24" s="180" t="s">
        <v>39</v>
      </c>
      <c r="N24" s="163" t="s">
        <v>21</v>
      </c>
      <c r="O24" s="174"/>
    </row>
    <row r="25" spans="1:15" ht="72.5" x14ac:dyDescent="0.35">
      <c r="A25" s="160">
        <f t="shared" si="0"/>
        <v>13</v>
      </c>
      <c r="B25" s="176" t="s">
        <v>85</v>
      </c>
      <c r="C25" s="127" t="s">
        <v>20</v>
      </c>
      <c r="D25" s="127" t="s">
        <v>20</v>
      </c>
      <c r="E25" s="133" t="s">
        <v>86</v>
      </c>
      <c r="F25" s="178" t="s">
        <v>39</v>
      </c>
      <c r="G25" s="126" t="s">
        <v>21</v>
      </c>
      <c r="H25" s="138" t="s">
        <v>21</v>
      </c>
      <c r="I25" s="139" t="s">
        <v>20</v>
      </c>
      <c r="J25" s="139" t="s">
        <v>20</v>
      </c>
      <c r="K25" s="139" t="s">
        <v>20</v>
      </c>
      <c r="L25" s="140" t="s">
        <v>87</v>
      </c>
      <c r="M25" s="180" t="s">
        <v>39</v>
      </c>
      <c r="N25" s="163" t="s">
        <v>21</v>
      </c>
      <c r="O25" s="174"/>
    </row>
    <row r="26" spans="1:15" ht="72.5" x14ac:dyDescent="0.35">
      <c r="A26" s="160">
        <f t="shared" si="0"/>
        <v>14</v>
      </c>
      <c r="B26" s="176" t="s">
        <v>88</v>
      </c>
      <c r="C26" s="127" t="s">
        <v>20</v>
      </c>
      <c r="D26" s="127" t="s">
        <v>20</v>
      </c>
      <c r="E26" s="133" t="s">
        <v>86</v>
      </c>
      <c r="F26" s="178" t="s">
        <v>39</v>
      </c>
      <c r="G26" s="126" t="s">
        <v>21</v>
      </c>
      <c r="H26" s="138" t="s">
        <v>21</v>
      </c>
      <c r="I26" s="139" t="s">
        <v>20</v>
      </c>
      <c r="J26" s="139" t="s">
        <v>20</v>
      </c>
      <c r="K26" s="139" t="s">
        <v>20</v>
      </c>
      <c r="L26" s="140" t="s">
        <v>87</v>
      </c>
      <c r="M26" s="180" t="s">
        <v>39</v>
      </c>
      <c r="N26" s="163" t="s">
        <v>21</v>
      </c>
      <c r="O26" s="174"/>
    </row>
    <row r="27" spans="1:15" ht="87" x14ac:dyDescent="0.35">
      <c r="A27" s="160">
        <f t="shared" si="0"/>
        <v>15</v>
      </c>
      <c r="B27" s="176" t="s">
        <v>89</v>
      </c>
      <c r="C27" s="127" t="s">
        <v>20</v>
      </c>
      <c r="D27" s="127" t="s">
        <v>20</v>
      </c>
      <c r="E27" s="133" t="s">
        <v>86</v>
      </c>
      <c r="F27" s="178" t="s">
        <v>39</v>
      </c>
      <c r="G27" s="126" t="s">
        <v>21</v>
      </c>
      <c r="H27" s="138" t="s">
        <v>21</v>
      </c>
      <c r="I27" s="139" t="s">
        <v>20</v>
      </c>
      <c r="J27" s="139" t="s">
        <v>20</v>
      </c>
      <c r="K27" s="139" t="s">
        <v>20</v>
      </c>
      <c r="L27" s="140" t="s">
        <v>90</v>
      </c>
      <c r="M27" s="180" t="s">
        <v>39</v>
      </c>
      <c r="N27" s="163" t="s">
        <v>21</v>
      </c>
      <c r="O27" s="174"/>
    </row>
    <row r="28" spans="1:15" ht="87" x14ac:dyDescent="0.35">
      <c r="A28" s="160">
        <f t="shared" si="0"/>
        <v>16</v>
      </c>
      <c r="B28" s="176" t="s">
        <v>91</v>
      </c>
      <c r="C28" s="127" t="s">
        <v>20</v>
      </c>
      <c r="D28" s="127" t="s">
        <v>20</v>
      </c>
      <c r="E28" s="133" t="s">
        <v>86</v>
      </c>
      <c r="F28" s="178" t="s">
        <v>39</v>
      </c>
      <c r="G28" s="126" t="s">
        <v>21</v>
      </c>
      <c r="H28" s="138" t="s">
        <v>20</v>
      </c>
      <c r="I28" s="139" t="s">
        <v>20</v>
      </c>
      <c r="J28" s="139" t="s">
        <v>20</v>
      </c>
      <c r="K28" s="139" t="s">
        <v>20</v>
      </c>
      <c r="L28" s="140" t="s">
        <v>92</v>
      </c>
      <c r="M28" s="180" t="s">
        <v>39</v>
      </c>
      <c r="N28" s="163" t="s">
        <v>21</v>
      </c>
      <c r="O28" s="174"/>
    </row>
    <row r="29" spans="1:15" ht="72.5" x14ac:dyDescent="0.35">
      <c r="A29" s="160">
        <f t="shared" si="0"/>
        <v>17</v>
      </c>
      <c r="B29" s="176" t="s">
        <v>93</v>
      </c>
      <c r="C29" s="127" t="s">
        <v>20</v>
      </c>
      <c r="D29" s="127" t="s">
        <v>20</v>
      </c>
      <c r="E29" s="133" t="s">
        <v>86</v>
      </c>
      <c r="F29" s="178" t="s">
        <v>39</v>
      </c>
      <c r="G29" s="126" t="s">
        <v>21</v>
      </c>
      <c r="H29" s="138" t="s">
        <v>21</v>
      </c>
      <c r="I29" s="139" t="s">
        <v>20</v>
      </c>
      <c r="J29" s="139" t="s">
        <v>20</v>
      </c>
      <c r="K29" s="139" t="s">
        <v>20</v>
      </c>
      <c r="L29" s="140" t="s">
        <v>94</v>
      </c>
      <c r="M29" s="180" t="s">
        <v>39</v>
      </c>
      <c r="N29" s="163" t="s">
        <v>21</v>
      </c>
      <c r="O29" s="174"/>
    </row>
    <row r="30" spans="1:15" ht="72.5" x14ac:dyDescent="0.35">
      <c r="A30" s="160">
        <f t="shared" si="0"/>
        <v>18</v>
      </c>
      <c r="B30" s="176" t="s">
        <v>95</v>
      </c>
      <c r="C30" s="127" t="s">
        <v>20</v>
      </c>
      <c r="D30" s="127" t="s">
        <v>20</v>
      </c>
      <c r="E30" s="133" t="s">
        <v>86</v>
      </c>
      <c r="F30" s="178" t="s">
        <v>39</v>
      </c>
      <c r="G30" s="126" t="s">
        <v>21</v>
      </c>
      <c r="H30" s="138" t="s">
        <v>21</v>
      </c>
      <c r="I30" s="139" t="s">
        <v>20</v>
      </c>
      <c r="J30" s="139" t="s">
        <v>20</v>
      </c>
      <c r="K30" s="139" t="s">
        <v>21</v>
      </c>
      <c r="L30" s="140" t="s">
        <v>96</v>
      </c>
      <c r="M30" s="180" t="s">
        <v>39</v>
      </c>
      <c r="N30" s="163" t="s">
        <v>21</v>
      </c>
      <c r="O30" s="174"/>
    </row>
    <row r="31" spans="1:15" ht="72.5" x14ac:dyDescent="0.35">
      <c r="A31" s="160">
        <f t="shared" si="0"/>
        <v>19</v>
      </c>
      <c r="B31" s="176" t="s">
        <v>97</v>
      </c>
      <c r="C31" s="127" t="s">
        <v>20</v>
      </c>
      <c r="D31" s="127" t="s">
        <v>20</v>
      </c>
      <c r="E31" s="133" t="s">
        <v>86</v>
      </c>
      <c r="F31" s="178" t="s">
        <v>39</v>
      </c>
      <c r="G31" s="126" t="s">
        <v>21</v>
      </c>
      <c r="H31" s="138" t="s">
        <v>21</v>
      </c>
      <c r="I31" s="139" t="s">
        <v>20</v>
      </c>
      <c r="J31" s="139" t="s">
        <v>20</v>
      </c>
      <c r="K31" s="139" t="s">
        <v>21</v>
      </c>
      <c r="L31" s="140" t="s">
        <v>96</v>
      </c>
      <c r="M31" s="180" t="s">
        <v>39</v>
      </c>
      <c r="N31" s="163" t="s">
        <v>21</v>
      </c>
      <c r="O31" s="174"/>
    </row>
    <row r="32" spans="1:15" ht="58" x14ac:dyDescent="0.35">
      <c r="A32" s="160">
        <f t="shared" si="0"/>
        <v>20</v>
      </c>
      <c r="B32" s="176" t="s">
        <v>98</v>
      </c>
      <c r="C32" s="127" t="s">
        <v>20</v>
      </c>
      <c r="D32" s="127" t="s">
        <v>20</v>
      </c>
      <c r="E32" s="133" t="s">
        <v>99</v>
      </c>
      <c r="F32" s="178" t="s">
        <v>39</v>
      </c>
      <c r="G32" s="126" t="s">
        <v>21</v>
      </c>
      <c r="H32" s="138" t="s">
        <v>20</v>
      </c>
      <c r="I32" s="139" t="s">
        <v>20</v>
      </c>
      <c r="J32" s="139" t="s">
        <v>20</v>
      </c>
      <c r="K32" s="139" t="s">
        <v>20</v>
      </c>
      <c r="L32" s="140" t="s">
        <v>100</v>
      </c>
      <c r="M32" s="180" t="s">
        <v>39</v>
      </c>
      <c r="N32" s="163" t="s">
        <v>21</v>
      </c>
      <c r="O32" s="174"/>
    </row>
    <row r="33" spans="1:15" ht="58" x14ac:dyDescent="0.35">
      <c r="A33" s="160">
        <f t="shared" si="0"/>
        <v>21</v>
      </c>
      <c r="B33" s="176" t="s">
        <v>101</v>
      </c>
      <c r="C33" s="127" t="s">
        <v>20</v>
      </c>
      <c r="D33" s="127" t="s">
        <v>20</v>
      </c>
      <c r="E33" s="133" t="s">
        <v>99</v>
      </c>
      <c r="F33" s="178" t="s">
        <v>39</v>
      </c>
      <c r="G33" s="126" t="s">
        <v>21</v>
      </c>
      <c r="H33" s="138" t="s">
        <v>20</v>
      </c>
      <c r="I33" s="139" t="s">
        <v>20</v>
      </c>
      <c r="J33" s="139" t="s">
        <v>20</v>
      </c>
      <c r="K33" s="139" t="s">
        <v>20</v>
      </c>
      <c r="L33" s="140" t="s">
        <v>102</v>
      </c>
      <c r="M33" s="180" t="s">
        <v>39</v>
      </c>
      <c r="N33" s="163" t="s">
        <v>21</v>
      </c>
      <c r="O33" s="174"/>
    </row>
    <row r="34" spans="1:15" ht="58" x14ac:dyDescent="0.35">
      <c r="A34" s="160">
        <f t="shared" si="0"/>
        <v>22</v>
      </c>
      <c r="B34" s="176" t="s">
        <v>103</v>
      </c>
      <c r="C34" s="127" t="s">
        <v>20</v>
      </c>
      <c r="D34" s="127" t="s">
        <v>20</v>
      </c>
      <c r="E34" s="133" t="s">
        <v>99</v>
      </c>
      <c r="F34" s="178" t="s">
        <v>39</v>
      </c>
      <c r="G34" s="126" t="s">
        <v>21</v>
      </c>
      <c r="H34" s="138" t="s">
        <v>20</v>
      </c>
      <c r="I34" s="139" t="s">
        <v>20</v>
      </c>
      <c r="J34" s="139" t="s">
        <v>20</v>
      </c>
      <c r="K34" s="139" t="s">
        <v>20</v>
      </c>
      <c r="L34" s="140" t="s">
        <v>102</v>
      </c>
      <c r="M34" s="180" t="s">
        <v>39</v>
      </c>
      <c r="N34" s="163" t="s">
        <v>21</v>
      </c>
      <c r="O34" s="174"/>
    </row>
    <row r="35" spans="1:15" ht="72.5" x14ac:dyDescent="0.35">
      <c r="A35" s="160">
        <f t="shared" si="0"/>
        <v>23</v>
      </c>
      <c r="B35" s="176" t="s">
        <v>104</v>
      </c>
      <c r="C35" s="127" t="s">
        <v>20</v>
      </c>
      <c r="D35" s="127" t="s">
        <v>20</v>
      </c>
      <c r="E35" s="133" t="s">
        <v>105</v>
      </c>
      <c r="F35" s="178" t="s">
        <v>39</v>
      </c>
      <c r="G35" s="126" t="s">
        <v>21</v>
      </c>
      <c r="H35" s="138" t="s">
        <v>20</v>
      </c>
      <c r="I35" s="139" t="s">
        <v>20</v>
      </c>
      <c r="J35" s="139" t="s">
        <v>20</v>
      </c>
      <c r="K35" s="139" t="s">
        <v>21</v>
      </c>
      <c r="L35" s="140" t="s">
        <v>106</v>
      </c>
      <c r="M35" s="180" t="s">
        <v>39</v>
      </c>
      <c r="N35" s="163" t="s">
        <v>21</v>
      </c>
      <c r="O35" s="174"/>
    </row>
    <row r="36" spans="1:15" ht="72.5" x14ac:dyDescent="0.35">
      <c r="A36" s="160">
        <f t="shared" si="0"/>
        <v>24</v>
      </c>
      <c r="B36" s="176" t="s">
        <v>107</v>
      </c>
      <c r="C36" s="127" t="s">
        <v>20</v>
      </c>
      <c r="D36" s="127" t="s">
        <v>20</v>
      </c>
      <c r="E36" s="133" t="s">
        <v>105</v>
      </c>
      <c r="F36" s="178" t="s">
        <v>39</v>
      </c>
      <c r="G36" s="126" t="s">
        <v>21</v>
      </c>
      <c r="H36" s="142" t="s">
        <v>20</v>
      </c>
      <c r="I36" s="143" t="s">
        <v>20</v>
      </c>
      <c r="J36" s="143" t="s">
        <v>20</v>
      </c>
      <c r="K36" s="143" t="s">
        <v>20</v>
      </c>
      <c r="L36" s="140" t="s">
        <v>108</v>
      </c>
      <c r="M36" s="180" t="s">
        <v>39</v>
      </c>
      <c r="N36" s="163" t="s">
        <v>21</v>
      </c>
      <c r="O36" s="174"/>
    </row>
    <row r="37" spans="1:15" ht="87" x14ac:dyDescent="0.35">
      <c r="A37" s="160">
        <f t="shared" si="0"/>
        <v>25</v>
      </c>
      <c r="B37" s="176" t="s">
        <v>109</v>
      </c>
      <c r="C37" s="127" t="s">
        <v>20</v>
      </c>
      <c r="D37" s="127" t="s">
        <v>20</v>
      </c>
      <c r="E37" s="133" t="s">
        <v>105</v>
      </c>
      <c r="F37" s="178" t="s">
        <v>39</v>
      </c>
      <c r="G37" s="126" t="s">
        <v>21</v>
      </c>
      <c r="H37" s="144" t="s">
        <v>20</v>
      </c>
      <c r="I37" s="145" t="s">
        <v>20</v>
      </c>
      <c r="J37" s="145" t="s">
        <v>20</v>
      </c>
      <c r="K37" s="145" t="s">
        <v>20</v>
      </c>
      <c r="L37" s="140" t="s">
        <v>110</v>
      </c>
      <c r="M37" s="180" t="s">
        <v>39</v>
      </c>
      <c r="N37" s="163" t="s">
        <v>21</v>
      </c>
      <c r="O37" s="174"/>
    </row>
    <row r="38" spans="1:15" ht="87" x14ac:dyDescent="0.35">
      <c r="A38" s="160">
        <f t="shared" si="0"/>
        <v>26</v>
      </c>
      <c r="B38" s="176" t="s">
        <v>111</v>
      </c>
      <c r="C38" s="127" t="s">
        <v>20</v>
      </c>
      <c r="D38" s="127" t="s">
        <v>20</v>
      </c>
      <c r="E38" s="133" t="s">
        <v>112</v>
      </c>
      <c r="F38" s="178" t="s">
        <v>39</v>
      </c>
      <c r="G38" s="126" t="s">
        <v>21</v>
      </c>
      <c r="H38" s="146" t="s">
        <v>20</v>
      </c>
      <c r="I38" s="147" t="s">
        <v>20</v>
      </c>
      <c r="J38" s="147" t="s">
        <v>20</v>
      </c>
      <c r="K38" s="147" t="s">
        <v>20</v>
      </c>
      <c r="L38" s="140" t="s">
        <v>113</v>
      </c>
      <c r="M38" s="180" t="s">
        <v>39</v>
      </c>
      <c r="N38" s="163" t="s">
        <v>21</v>
      </c>
      <c r="O38" s="174"/>
    </row>
    <row r="39" spans="1:15" ht="72.5" x14ac:dyDescent="0.35">
      <c r="A39" s="160">
        <f t="shared" si="0"/>
        <v>27</v>
      </c>
      <c r="B39" s="176" t="s">
        <v>114</v>
      </c>
      <c r="C39" s="127" t="s">
        <v>20</v>
      </c>
      <c r="D39" s="127" t="s">
        <v>20</v>
      </c>
      <c r="E39" s="133" t="s">
        <v>115</v>
      </c>
      <c r="F39" s="178" t="s">
        <v>39</v>
      </c>
      <c r="G39" s="126" t="s">
        <v>21</v>
      </c>
      <c r="H39" s="146" t="s">
        <v>20</v>
      </c>
      <c r="I39" s="147" t="s">
        <v>20</v>
      </c>
      <c r="J39" s="147" t="s">
        <v>20</v>
      </c>
      <c r="K39" s="147" t="s">
        <v>20</v>
      </c>
      <c r="L39" s="140" t="s">
        <v>116</v>
      </c>
      <c r="M39" s="180" t="s">
        <v>39</v>
      </c>
      <c r="N39" s="163" t="s">
        <v>21</v>
      </c>
      <c r="O39" s="174"/>
    </row>
    <row r="40" spans="1:15" ht="58" x14ac:dyDescent="0.35">
      <c r="A40" s="160">
        <f t="shared" si="0"/>
        <v>28</v>
      </c>
      <c r="B40" s="176" t="s">
        <v>117</v>
      </c>
      <c r="C40" s="127" t="s">
        <v>20</v>
      </c>
      <c r="D40" s="127" t="s">
        <v>20</v>
      </c>
      <c r="E40" s="133" t="s">
        <v>115</v>
      </c>
      <c r="F40" s="178" t="s">
        <v>39</v>
      </c>
      <c r="G40" s="126" t="s">
        <v>21</v>
      </c>
      <c r="H40" s="146" t="s">
        <v>20</v>
      </c>
      <c r="I40" s="147" t="s">
        <v>20</v>
      </c>
      <c r="J40" s="147" t="s">
        <v>20</v>
      </c>
      <c r="K40" s="147" t="s">
        <v>20</v>
      </c>
      <c r="L40" s="140" t="s">
        <v>118</v>
      </c>
      <c r="M40" s="180" t="s">
        <v>39</v>
      </c>
      <c r="N40" s="163" t="s">
        <v>21</v>
      </c>
      <c r="O40" s="174"/>
    </row>
    <row r="41" spans="1:15" ht="72.5" x14ac:dyDescent="0.35">
      <c r="A41" s="160">
        <f t="shared" si="0"/>
        <v>29</v>
      </c>
      <c r="B41" s="176" t="s">
        <v>119</v>
      </c>
      <c r="C41" s="127" t="s">
        <v>20</v>
      </c>
      <c r="D41" s="127" t="s">
        <v>20</v>
      </c>
      <c r="E41" s="133" t="s">
        <v>115</v>
      </c>
      <c r="F41" s="178" t="s">
        <v>39</v>
      </c>
      <c r="G41" s="126" t="s">
        <v>21</v>
      </c>
      <c r="H41" s="146" t="s">
        <v>20</v>
      </c>
      <c r="I41" s="147" t="s">
        <v>20</v>
      </c>
      <c r="J41" s="147" t="s">
        <v>20</v>
      </c>
      <c r="K41" s="147" t="s">
        <v>21</v>
      </c>
      <c r="L41" s="140" t="s">
        <v>120</v>
      </c>
      <c r="M41" s="180" t="s">
        <v>39</v>
      </c>
      <c r="N41" s="163" t="s">
        <v>21</v>
      </c>
      <c r="O41" s="174"/>
    </row>
    <row r="42" spans="1:15" ht="72.5" x14ac:dyDescent="0.35">
      <c r="A42" s="160">
        <f t="shared" si="0"/>
        <v>30</v>
      </c>
      <c r="B42" s="176" t="s">
        <v>121</v>
      </c>
      <c r="C42" s="127" t="s">
        <v>20</v>
      </c>
      <c r="D42" s="127" t="s">
        <v>20</v>
      </c>
      <c r="E42" s="133" t="s">
        <v>115</v>
      </c>
      <c r="F42" s="178" t="s">
        <v>39</v>
      </c>
      <c r="G42" s="126" t="s">
        <v>21</v>
      </c>
      <c r="H42" s="146" t="s">
        <v>20</v>
      </c>
      <c r="I42" s="147" t="s">
        <v>20</v>
      </c>
      <c r="J42" s="147" t="s">
        <v>20</v>
      </c>
      <c r="K42" s="147" t="s">
        <v>20</v>
      </c>
      <c r="L42" s="140" t="s">
        <v>122</v>
      </c>
      <c r="M42" s="180" t="s">
        <v>39</v>
      </c>
      <c r="N42" s="163" t="s">
        <v>21</v>
      </c>
      <c r="O42" s="174"/>
    </row>
    <row r="43" spans="1:15" ht="72.5" x14ac:dyDescent="0.35">
      <c r="A43" s="160">
        <f t="shared" si="0"/>
        <v>31</v>
      </c>
      <c r="B43" s="176" t="s">
        <v>123</v>
      </c>
      <c r="C43" s="127" t="s">
        <v>20</v>
      </c>
      <c r="D43" s="127" t="s">
        <v>20</v>
      </c>
      <c r="E43" s="133" t="s">
        <v>115</v>
      </c>
      <c r="F43" s="178" t="s">
        <v>39</v>
      </c>
      <c r="G43" s="126" t="s">
        <v>21</v>
      </c>
      <c r="H43" s="146" t="s">
        <v>21</v>
      </c>
      <c r="I43" s="147" t="s">
        <v>20</v>
      </c>
      <c r="J43" s="147" t="s">
        <v>20</v>
      </c>
      <c r="K43" s="147" t="s">
        <v>21</v>
      </c>
      <c r="L43" s="140" t="s">
        <v>124</v>
      </c>
      <c r="M43" s="180" t="s">
        <v>39</v>
      </c>
      <c r="N43" s="163" t="s">
        <v>21</v>
      </c>
      <c r="O43" s="174"/>
    </row>
    <row r="44" spans="1:15" ht="72.5" x14ac:dyDescent="0.35">
      <c r="A44" s="160">
        <f t="shared" si="0"/>
        <v>32</v>
      </c>
      <c r="B44" s="176" t="s">
        <v>125</v>
      </c>
      <c r="C44" s="127" t="s">
        <v>20</v>
      </c>
      <c r="D44" s="127" t="s">
        <v>20</v>
      </c>
      <c r="E44" s="133" t="s">
        <v>126</v>
      </c>
      <c r="F44" s="178" t="s">
        <v>39</v>
      </c>
      <c r="G44" s="126" t="s">
        <v>21</v>
      </c>
      <c r="H44" s="146" t="s">
        <v>20</v>
      </c>
      <c r="I44" s="147" t="s">
        <v>20</v>
      </c>
      <c r="J44" s="147" t="s">
        <v>20</v>
      </c>
      <c r="K44" s="147" t="s">
        <v>21</v>
      </c>
      <c r="L44" s="140" t="s">
        <v>127</v>
      </c>
      <c r="M44" s="180" t="s">
        <v>39</v>
      </c>
      <c r="N44" s="163" t="s">
        <v>21</v>
      </c>
      <c r="O44" s="174"/>
    </row>
    <row r="45" spans="1:15" ht="87" x14ac:dyDescent="0.35">
      <c r="A45" s="160">
        <f t="shared" si="0"/>
        <v>33</v>
      </c>
      <c r="B45" s="176" t="s">
        <v>128</v>
      </c>
      <c r="C45" s="127" t="s">
        <v>20</v>
      </c>
      <c r="D45" s="127" t="s">
        <v>20</v>
      </c>
      <c r="E45" s="133" t="s">
        <v>129</v>
      </c>
      <c r="F45" s="178" t="s">
        <v>39</v>
      </c>
      <c r="G45" s="126" t="s">
        <v>21</v>
      </c>
      <c r="H45" s="146" t="s">
        <v>20</v>
      </c>
      <c r="I45" s="147" t="s">
        <v>20</v>
      </c>
      <c r="J45" s="147" t="s">
        <v>20</v>
      </c>
      <c r="K45" s="147" t="s">
        <v>20</v>
      </c>
      <c r="L45" s="140" t="s">
        <v>130</v>
      </c>
      <c r="M45" s="180" t="s">
        <v>39</v>
      </c>
      <c r="N45" s="163" t="s">
        <v>21</v>
      </c>
      <c r="O45" s="174"/>
    </row>
    <row r="46" spans="1:15" ht="87" x14ac:dyDescent="0.35">
      <c r="A46" s="160">
        <f t="shared" si="0"/>
        <v>34</v>
      </c>
      <c r="B46" s="176" t="s">
        <v>131</v>
      </c>
      <c r="C46" s="127" t="s">
        <v>20</v>
      </c>
      <c r="D46" s="127" t="s">
        <v>20</v>
      </c>
      <c r="E46" s="133" t="s">
        <v>105</v>
      </c>
      <c r="F46" s="178" t="s">
        <v>39</v>
      </c>
      <c r="G46" s="126" t="s">
        <v>21</v>
      </c>
      <c r="H46" s="146" t="s">
        <v>20</v>
      </c>
      <c r="I46" s="147" t="s">
        <v>20</v>
      </c>
      <c r="J46" s="147" t="s">
        <v>20</v>
      </c>
      <c r="K46" s="147" t="s">
        <v>20</v>
      </c>
      <c r="L46" s="140" t="s">
        <v>130</v>
      </c>
      <c r="M46" s="180" t="s">
        <v>39</v>
      </c>
      <c r="N46" s="163" t="s">
        <v>21</v>
      </c>
      <c r="O46" s="174"/>
    </row>
    <row r="47" spans="1:15" ht="58" x14ac:dyDescent="0.35">
      <c r="A47" s="160">
        <f t="shared" si="0"/>
        <v>35</v>
      </c>
      <c r="B47" s="176" t="s">
        <v>132</v>
      </c>
      <c r="C47" s="127" t="s">
        <v>21</v>
      </c>
      <c r="D47" s="127" t="s">
        <v>20</v>
      </c>
      <c r="E47" s="133" t="s">
        <v>133</v>
      </c>
      <c r="F47" s="178" t="s">
        <v>39</v>
      </c>
      <c r="G47" s="126" t="s">
        <v>21</v>
      </c>
      <c r="H47" s="146" t="s">
        <v>20</v>
      </c>
      <c r="I47" s="147" t="s">
        <v>20</v>
      </c>
      <c r="J47" s="147" t="s">
        <v>21</v>
      </c>
      <c r="K47" s="147" t="s">
        <v>20</v>
      </c>
      <c r="L47" s="140" t="s">
        <v>134</v>
      </c>
      <c r="M47" s="180" t="s">
        <v>39</v>
      </c>
      <c r="N47" s="163" t="s">
        <v>21</v>
      </c>
      <c r="O47" s="174"/>
    </row>
    <row r="48" spans="1:15" ht="72.5" x14ac:dyDescent="0.35">
      <c r="A48" s="160">
        <f t="shared" si="0"/>
        <v>36</v>
      </c>
      <c r="B48" s="176" t="s">
        <v>135</v>
      </c>
      <c r="C48" s="127" t="s">
        <v>20</v>
      </c>
      <c r="D48" s="127" t="s">
        <v>20</v>
      </c>
      <c r="E48" s="133" t="s">
        <v>105</v>
      </c>
      <c r="F48" s="178" t="s">
        <v>39</v>
      </c>
      <c r="G48" s="126" t="s">
        <v>21</v>
      </c>
      <c r="H48" s="146" t="s">
        <v>20</v>
      </c>
      <c r="I48" s="147" t="s">
        <v>20</v>
      </c>
      <c r="J48" s="147" t="s">
        <v>20</v>
      </c>
      <c r="K48" s="147" t="s">
        <v>20</v>
      </c>
      <c r="L48" s="140" t="s">
        <v>136</v>
      </c>
      <c r="M48" s="180" t="s">
        <v>39</v>
      </c>
      <c r="N48" s="163" t="s">
        <v>21</v>
      </c>
      <c r="O48" s="174"/>
    </row>
    <row r="49" spans="1:15" ht="72.5" x14ac:dyDescent="0.35">
      <c r="A49" s="160">
        <f t="shared" si="0"/>
        <v>37</v>
      </c>
      <c r="B49" s="176" t="s">
        <v>137</v>
      </c>
      <c r="C49" s="127" t="s">
        <v>20</v>
      </c>
      <c r="D49" s="127" t="s">
        <v>20</v>
      </c>
      <c r="E49" s="133" t="s">
        <v>105</v>
      </c>
      <c r="F49" s="178" t="s">
        <v>39</v>
      </c>
      <c r="G49" s="126" t="s">
        <v>21</v>
      </c>
      <c r="H49" s="146" t="s">
        <v>20</v>
      </c>
      <c r="I49" s="147" t="s">
        <v>20</v>
      </c>
      <c r="J49" s="147" t="s">
        <v>21</v>
      </c>
      <c r="K49" s="147" t="s">
        <v>20</v>
      </c>
      <c r="L49" s="140" t="s">
        <v>138</v>
      </c>
      <c r="M49" s="180" t="s">
        <v>39</v>
      </c>
      <c r="N49" s="163" t="s">
        <v>21</v>
      </c>
      <c r="O49" s="174"/>
    </row>
    <row r="50" spans="1:15" ht="87" x14ac:dyDescent="0.35">
      <c r="A50" s="160">
        <f t="shared" si="0"/>
        <v>38</v>
      </c>
      <c r="B50" s="176" t="s">
        <v>139</v>
      </c>
      <c r="C50" s="127" t="s">
        <v>21</v>
      </c>
      <c r="D50" s="127" t="s">
        <v>20</v>
      </c>
      <c r="E50" s="133" t="s">
        <v>140</v>
      </c>
      <c r="F50" s="178" t="s">
        <v>39</v>
      </c>
      <c r="G50" s="126" t="s">
        <v>21</v>
      </c>
      <c r="H50" s="146" t="s">
        <v>20</v>
      </c>
      <c r="I50" s="147" t="s">
        <v>20</v>
      </c>
      <c r="J50" s="147" t="s">
        <v>20</v>
      </c>
      <c r="K50" s="147" t="s">
        <v>20</v>
      </c>
      <c r="L50" s="140" t="s">
        <v>113</v>
      </c>
      <c r="M50" s="180" t="s">
        <v>39</v>
      </c>
      <c r="N50" s="163" t="s">
        <v>21</v>
      </c>
      <c r="O50" s="174"/>
    </row>
    <row r="51" spans="1:15" ht="87" x14ac:dyDescent="0.35">
      <c r="A51" s="160">
        <f t="shared" si="0"/>
        <v>39</v>
      </c>
      <c r="B51" s="176" t="s">
        <v>141</v>
      </c>
      <c r="C51" s="127" t="s">
        <v>21</v>
      </c>
      <c r="D51" s="127" t="s">
        <v>20</v>
      </c>
      <c r="E51" s="133" t="s">
        <v>140</v>
      </c>
      <c r="F51" s="178" t="s">
        <v>39</v>
      </c>
      <c r="G51" s="126" t="s">
        <v>21</v>
      </c>
      <c r="H51" s="146" t="s">
        <v>20</v>
      </c>
      <c r="I51" s="147" t="s">
        <v>20</v>
      </c>
      <c r="J51" s="147" t="s">
        <v>20</v>
      </c>
      <c r="K51" s="147" t="s">
        <v>20</v>
      </c>
      <c r="L51" s="140" t="s">
        <v>113</v>
      </c>
      <c r="M51" s="180" t="s">
        <v>39</v>
      </c>
      <c r="N51" s="163" t="s">
        <v>21</v>
      </c>
      <c r="O51" s="174"/>
    </row>
    <row r="52" spans="1:15" ht="87.5" thickBot="1" x14ac:dyDescent="0.4">
      <c r="A52" s="160">
        <f t="shared" si="0"/>
        <v>40</v>
      </c>
      <c r="B52" s="176" t="s">
        <v>142</v>
      </c>
      <c r="C52" s="127" t="s">
        <v>20</v>
      </c>
      <c r="D52" s="127" t="s">
        <v>20</v>
      </c>
      <c r="E52" s="133" t="s">
        <v>112</v>
      </c>
      <c r="F52" s="178" t="s">
        <v>39</v>
      </c>
      <c r="G52" s="126" t="s">
        <v>21</v>
      </c>
      <c r="H52" s="146" t="s">
        <v>20</v>
      </c>
      <c r="I52" s="147" t="s">
        <v>20</v>
      </c>
      <c r="J52" s="147" t="s">
        <v>20</v>
      </c>
      <c r="K52" s="147" t="s">
        <v>20</v>
      </c>
      <c r="L52" s="140" t="s">
        <v>113</v>
      </c>
      <c r="M52" s="180" t="s">
        <v>39</v>
      </c>
      <c r="N52" s="163" t="s">
        <v>21</v>
      </c>
      <c r="O52" s="174"/>
    </row>
    <row r="53" spans="1:15" ht="217.5" x14ac:dyDescent="0.35">
      <c r="A53" s="181" t="s">
        <v>143</v>
      </c>
      <c r="B53" s="182" t="s">
        <v>144</v>
      </c>
      <c r="C53" s="239" t="s">
        <v>20</v>
      </c>
      <c r="D53" s="239"/>
      <c r="E53" s="179" t="s">
        <v>145</v>
      </c>
      <c r="F53" s="178" t="s">
        <v>146</v>
      </c>
      <c r="G53" s="126" t="s">
        <v>21</v>
      </c>
      <c r="H53" s="240" t="s">
        <v>20</v>
      </c>
      <c r="I53" s="240"/>
      <c r="J53" s="240"/>
      <c r="K53" s="240"/>
      <c r="L53" s="180" t="s">
        <v>147</v>
      </c>
      <c r="M53" s="180" t="s">
        <v>148</v>
      </c>
      <c r="N53" s="163" t="s">
        <v>21</v>
      </c>
      <c r="O53" s="174"/>
    </row>
    <row r="54" spans="1:15" ht="199.5" customHeight="1" x14ac:dyDescent="0.35">
      <c r="A54" s="175" t="s">
        <v>149</v>
      </c>
      <c r="B54" s="176" t="s">
        <v>150</v>
      </c>
      <c r="C54" s="223" t="s">
        <v>20</v>
      </c>
      <c r="D54" s="224"/>
      <c r="E54" s="133" t="s">
        <v>151</v>
      </c>
      <c r="F54" s="123" t="s">
        <v>152</v>
      </c>
      <c r="G54" s="126" t="s">
        <v>21</v>
      </c>
      <c r="H54" s="225" t="s">
        <v>20</v>
      </c>
      <c r="I54" s="226"/>
      <c r="J54" s="226"/>
      <c r="K54" s="227"/>
      <c r="L54" s="137" t="s">
        <v>153</v>
      </c>
      <c r="M54" s="137" t="s">
        <v>154</v>
      </c>
      <c r="N54" s="163" t="s">
        <v>21</v>
      </c>
      <c r="O54" s="174"/>
    </row>
    <row r="55" spans="1:15" ht="58" x14ac:dyDescent="0.35">
      <c r="A55" s="175" t="s">
        <v>155</v>
      </c>
      <c r="B55" s="176" t="s">
        <v>156</v>
      </c>
      <c r="C55" s="127" t="s">
        <v>20</v>
      </c>
      <c r="D55" s="123" t="s">
        <v>20</v>
      </c>
      <c r="E55" s="123" t="s">
        <v>157</v>
      </c>
      <c r="F55" s="123" t="s">
        <v>158</v>
      </c>
      <c r="G55" s="126" t="s">
        <v>21</v>
      </c>
      <c r="H55" s="136" t="s">
        <v>20</v>
      </c>
      <c r="I55" s="135" t="s">
        <v>20</v>
      </c>
      <c r="J55" s="135" t="s">
        <v>20</v>
      </c>
      <c r="K55" s="135" t="s">
        <v>20</v>
      </c>
      <c r="L55" s="135" t="s">
        <v>159</v>
      </c>
      <c r="M55" s="135" t="s">
        <v>160</v>
      </c>
      <c r="N55" s="163" t="s">
        <v>21</v>
      </c>
      <c r="O55" s="174"/>
    </row>
    <row r="56" spans="1:15" ht="75" customHeight="1" x14ac:dyDescent="0.35">
      <c r="A56" s="175" t="s">
        <v>161</v>
      </c>
      <c r="B56" s="176" t="s">
        <v>162</v>
      </c>
      <c r="C56" s="134" t="s">
        <v>20</v>
      </c>
      <c r="D56" s="131" t="s">
        <v>20</v>
      </c>
      <c r="E56" s="131" t="s">
        <v>163</v>
      </c>
      <c r="F56" s="131" t="s">
        <v>158</v>
      </c>
      <c r="G56" s="126" t="s">
        <v>21</v>
      </c>
      <c r="H56" s="138" t="s">
        <v>20</v>
      </c>
      <c r="I56" s="139" t="s">
        <v>20</v>
      </c>
      <c r="J56" s="139" t="s">
        <v>20</v>
      </c>
      <c r="K56" s="139" t="s">
        <v>20</v>
      </c>
      <c r="L56" s="139" t="s">
        <v>164</v>
      </c>
      <c r="M56" s="139" t="s">
        <v>165</v>
      </c>
      <c r="N56" s="163" t="s">
        <v>21</v>
      </c>
      <c r="O56" s="174"/>
    </row>
    <row r="57" spans="1:15" ht="58" x14ac:dyDescent="0.35">
      <c r="A57" s="175" t="s">
        <v>166</v>
      </c>
      <c r="B57" s="176" t="s">
        <v>167</v>
      </c>
      <c r="C57" s="134" t="s">
        <v>20</v>
      </c>
      <c r="D57" s="131" t="s">
        <v>20</v>
      </c>
      <c r="E57" s="131" t="s">
        <v>168</v>
      </c>
      <c r="F57" s="131" t="s">
        <v>158</v>
      </c>
      <c r="G57" s="126" t="s">
        <v>21</v>
      </c>
      <c r="H57" s="138" t="s">
        <v>20</v>
      </c>
      <c r="I57" s="139" t="s">
        <v>20</v>
      </c>
      <c r="J57" s="139" t="s">
        <v>20</v>
      </c>
      <c r="K57" s="139" t="s">
        <v>20</v>
      </c>
      <c r="L57" s="139" t="s">
        <v>169</v>
      </c>
      <c r="M57" s="139" t="s">
        <v>170</v>
      </c>
      <c r="N57" s="163" t="s">
        <v>21</v>
      </c>
      <c r="O57" s="174"/>
    </row>
    <row r="58" spans="1:15" ht="58" x14ac:dyDescent="0.35">
      <c r="A58" s="175" t="s">
        <v>171</v>
      </c>
      <c r="B58" s="176" t="s">
        <v>172</v>
      </c>
      <c r="C58" s="134" t="s">
        <v>20</v>
      </c>
      <c r="D58" s="131" t="s">
        <v>20</v>
      </c>
      <c r="E58" s="131" t="s">
        <v>173</v>
      </c>
      <c r="F58" s="131" t="s">
        <v>174</v>
      </c>
      <c r="G58" s="126" t="s">
        <v>21</v>
      </c>
      <c r="H58" s="138" t="s">
        <v>20</v>
      </c>
      <c r="I58" s="139" t="s">
        <v>20</v>
      </c>
      <c r="J58" s="139" t="s">
        <v>20</v>
      </c>
      <c r="K58" s="139" t="s">
        <v>20</v>
      </c>
      <c r="L58" s="139" t="s">
        <v>175</v>
      </c>
      <c r="M58" s="139" t="s">
        <v>170</v>
      </c>
      <c r="N58" s="163" t="s">
        <v>21</v>
      </c>
      <c r="O58" s="174"/>
    </row>
    <row r="59" spans="1:15" ht="58" x14ac:dyDescent="0.35">
      <c r="A59" s="175" t="s">
        <v>176</v>
      </c>
      <c r="B59" s="176" t="s">
        <v>177</v>
      </c>
      <c r="C59" s="134" t="s">
        <v>20</v>
      </c>
      <c r="D59" s="131" t="s">
        <v>20</v>
      </c>
      <c r="E59" s="131" t="s">
        <v>178</v>
      </c>
      <c r="F59" s="131" t="s">
        <v>179</v>
      </c>
      <c r="G59" s="126" t="s">
        <v>21</v>
      </c>
      <c r="H59" s="138" t="s">
        <v>20</v>
      </c>
      <c r="I59" s="139" t="s">
        <v>20</v>
      </c>
      <c r="J59" s="139" t="s">
        <v>20</v>
      </c>
      <c r="K59" s="139" t="s">
        <v>20</v>
      </c>
      <c r="L59" s="139" t="s">
        <v>180</v>
      </c>
      <c r="M59" s="139" t="s">
        <v>181</v>
      </c>
      <c r="N59" s="163" t="s">
        <v>21</v>
      </c>
      <c r="O59" s="174"/>
    </row>
    <row r="60" spans="1:15" ht="29" x14ac:dyDescent="0.35">
      <c r="A60" s="161" t="s">
        <v>182</v>
      </c>
      <c r="B60" s="176" t="s">
        <v>183</v>
      </c>
      <c r="C60" s="178" t="s">
        <v>20</v>
      </c>
      <c r="D60" s="178" t="s">
        <v>20</v>
      </c>
      <c r="E60" s="179" t="s">
        <v>185</v>
      </c>
      <c r="F60" s="127" t="s">
        <v>184</v>
      </c>
      <c r="G60" s="126" t="s">
        <v>21</v>
      </c>
      <c r="H60" s="180" t="s">
        <v>20</v>
      </c>
      <c r="I60" s="180" t="s">
        <v>20</v>
      </c>
      <c r="J60" s="180" t="s">
        <v>20</v>
      </c>
      <c r="K60" s="180" t="s">
        <v>20</v>
      </c>
      <c r="L60" s="180" t="s">
        <v>186</v>
      </c>
      <c r="M60" s="136" t="s">
        <v>184</v>
      </c>
      <c r="N60" s="163" t="s">
        <v>21</v>
      </c>
      <c r="O60" s="174"/>
    </row>
    <row r="61" spans="1:15" ht="58" x14ac:dyDescent="0.35">
      <c r="A61" s="175" t="s">
        <v>187</v>
      </c>
      <c r="B61" s="176" t="s">
        <v>188</v>
      </c>
      <c r="C61" s="127" t="s">
        <v>20</v>
      </c>
      <c r="D61" s="123" t="s">
        <v>20</v>
      </c>
      <c r="E61" s="123" t="s">
        <v>189</v>
      </c>
      <c r="F61" s="123" t="s">
        <v>190</v>
      </c>
      <c r="G61" s="126" t="s">
        <v>21</v>
      </c>
      <c r="H61" s="136" t="s">
        <v>20</v>
      </c>
      <c r="I61" s="135" t="s">
        <v>20</v>
      </c>
      <c r="J61" s="135" t="s">
        <v>20</v>
      </c>
      <c r="K61" s="135" t="s">
        <v>20</v>
      </c>
      <c r="L61" s="135" t="s">
        <v>191</v>
      </c>
      <c r="M61" s="135" t="s">
        <v>192</v>
      </c>
      <c r="N61" s="163" t="s">
        <v>21</v>
      </c>
      <c r="O61" s="174"/>
    </row>
    <row r="62" spans="1:15" ht="67.5" customHeight="1" x14ac:dyDescent="0.35">
      <c r="A62" s="175" t="s">
        <v>193</v>
      </c>
      <c r="B62" s="176" t="s">
        <v>194</v>
      </c>
      <c r="C62" s="134" t="s">
        <v>20</v>
      </c>
      <c r="D62" s="131" t="s">
        <v>20</v>
      </c>
      <c r="E62" s="131" t="s">
        <v>195</v>
      </c>
      <c r="F62" s="131" t="s">
        <v>39</v>
      </c>
      <c r="G62" s="126" t="s">
        <v>21</v>
      </c>
      <c r="H62" s="138" t="s">
        <v>20</v>
      </c>
      <c r="I62" s="139" t="s">
        <v>20</v>
      </c>
      <c r="J62" s="139" t="s">
        <v>20</v>
      </c>
      <c r="K62" s="139" t="s">
        <v>20</v>
      </c>
      <c r="L62" s="139" t="s">
        <v>196</v>
      </c>
      <c r="M62" s="139" t="s">
        <v>39</v>
      </c>
      <c r="N62" s="163" t="s">
        <v>21</v>
      </c>
      <c r="O62" s="174"/>
    </row>
    <row r="63" spans="1:15" ht="43.5" x14ac:dyDescent="0.35">
      <c r="A63" s="175" t="s">
        <v>197</v>
      </c>
      <c r="B63" s="176" t="s">
        <v>198</v>
      </c>
      <c r="C63" s="178" t="s">
        <v>199</v>
      </c>
      <c r="D63" s="178" t="s">
        <v>199</v>
      </c>
      <c r="E63" s="178" t="s">
        <v>199</v>
      </c>
      <c r="F63" s="131" t="s">
        <v>39</v>
      </c>
      <c r="G63" s="126" t="s">
        <v>21</v>
      </c>
      <c r="H63" s="138" t="s">
        <v>40</v>
      </c>
      <c r="I63" s="139" t="s">
        <v>40</v>
      </c>
      <c r="J63" s="139" t="s">
        <v>40</v>
      </c>
      <c r="K63" s="139" t="s">
        <v>40</v>
      </c>
      <c r="L63" s="139" t="s">
        <v>40</v>
      </c>
      <c r="M63" s="139" t="s">
        <v>40</v>
      </c>
      <c r="N63" s="163" t="s">
        <v>21</v>
      </c>
      <c r="O63" s="174"/>
    </row>
    <row r="64" spans="1:15" ht="88.5" customHeight="1" x14ac:dyDescent="0.35">
      <c r="A64" s="175" t="s">
        <v>200</v>
      </c>
      <c r="B64" s="176" t="s">
        <v>201</v>
      </c>
      <c r="C64" s="165" t="s">
        <v>20</v>
      </c>
      <c r="D64" s="166" t="s">
        <v>20</v>
      </c>
      <c r="E64" s="166" t="s">
        <v>202</v>
      </c>
      <c r="F64" s="166" t="s">
        <v>39</v>
      </c>
      <c r="G64" s="158" t="s">
        <v>21</v>
      </c>
      <c r="H64" s="148" t="s">
        <v>20</v>
      </c>
      <c r="I64" s="149" t="s">
        <v>20</v>
      </c>
      <c r="J64" s="149" t="s">
        <v>20</v>
      </c>
      <c r="K64" s="149" t="s">
        <v>20</v>
      </c>
      <c r="L64" s="149" t="s">
        <v>203</v>
      </c>
      <c r="M64" s="149" t="s">
        <v>39</v>
      </c>
      <c r="N64" s="164" t="s">
        <v>21</v>
      </c>
      <c r="O64" s="174"/>
    </row>
    <row r="65" spans="1:15" ht="222.75" customHeight="1" x14ac:dyDescent="0.35">
      <c r="A65" s="175" t="s">
        <v>204</v>
      </c>
      <c r="B65" s="176" t="s">
        <v>205</v>
      </c>
      <c r="C65" s="127" t="s">
        <v>21</v>
      </c>
      <c r="D65" s="127" t="s">
        <v>20</v>
      </c>
      <c r="E65" s="127" t="s">
        <v>206</v>
      </c>
      <c r="F65" s="127" t="s">
        <v>39</v>
      </c>
      <c r="G65" s="126" t="s">
        <v>21</v>
      </c>
      <c r="H65" s="136" t="s">
        <v>21</v>
      </c>
      <c r="I65" s="136" t="s">
        <v>20</v>
      </c>
      <c r="J65" s="136" t="s">
        <v>20</v>
      </c>
      <c r="K65" s="136" t="s">
        <v>21</v>
      </c>
      <c r="L65" s="136" t="s">
        <v>207</v>
      </c>
      <c r="M65" s="136" t="s">
        <v>39</v>
      </c>
      <c r="N65" s="163" t="s">
        <v>21</v>
      </c>
      <c r="O65" s="174"/>
    </row>
    <row r="66" spans="1:15" ht="92.25" customHeight="1" x14ac:dyDescent="0.35">
      <c r="A66" s="177" t="s">
        <v>208</v>
      </c>
      <c r="B66" s="183" t="s">
        <v>209</v>
      </c>
      <c r="C66" s="178" t="s">
        <v>20</v>
      </c>
      <c r="D66" s="178" t="s">
        <v>20</v>
      </c>
      <c r="E66" s="179" t="s">
        <v>210</v>
      </c>
      <c r="F66" s="127" t="s">
        <v>39</v>
      </c>
      <c r="G66" s="126" t="s">
        <v>21</v>
      </c>
      <c r="H66" s="136" t="s">
        <v>20</v>
      </c>
      <c r="I66" s="136" t="s">
        <v>20</v>
      </c>
      <c r="J66" s="136" t="s">
        <v>20</v>
      </c>
      <c r="K66" s="136" t="s">
        <v>20</v>
      </c>
      <c r="L66" s="136" t="s">
        <v>211</v>
      </c>
      <c r="M66" s="136" t="s">
        <v>39</v>
      </c>
      <c r="N66" s="163" t="s">
        <v>21</v>
      </c>
      <c r="O66" s="174"/>
    </row>
    <row r="67" spans="1:15" ht="29.25" customHeight="1" x14ac:dyDescent="0.35">
      <c r="A67" s="198" t="s">
        <v>212</v>
      </c>
      <c r="B67" s="183" t="s">
        <v>213</v>
      </c>
      <c r="C67" s="239" t="s">
        <v>20</v>
      </c>
      <c r="D67" s="239"/>
      <c r="E67" s="179" t="s">
        <v>214</v>
      </c>
      <c r="F67" s="178" t="s">
        <v>39</v>
      </c>
      <c r="G67" s="126" t="s">
        <v>21</v>
      </c>
      <c r="H67" s="238" t="s">
        <v>20</v>
      </c>
      <c r="I67" s="238"/>
      <c r="J67" s="238"/>
      <c r="K67" s="238"/>
      <c r="L67" s="136" t="s">
        <v>215</v>
      </c>
      <c r="M67" s="136" t="s">
        <v>39</v>
      </c>
      <c r="N67" s="163" t="s">
        <v>21</v>
      </c>
      <c r="O67" s="174"/>
    </row>
    <row r="68" spans="1:15" ht="14.5" x14ac:dyDescent="0.35">
      <c r="A68" s="199"/>
      <c r="B68" s="176" t="s">
        <v>216</v>
      </c>
      <c r="C68" s="239" t="s">
        <v>20</v>
      </c>
      <c r="D68" s="239"/>
      <c r="E68" s="179" t="s">
        <v>217</v>
      </c>
      <c r="F68" s="178" t="s">
        <v>39</v>
      </c>
      <c r="G68" s="126" t="s">
        <v>21</v>
      </c>
      <c r="H68" s="238" t="s">
        <v>20</v>
      </c>
      <c r="I68" s="238"/>
      <c r="J68" s="238"/>
      <c r="K68" s="238"/>
      <c r="L68" s="136">
        <v>1876</v>
      </c>
      <c r="M68" s="136" t="s">
        <v>39</v>
      </c>
      <c r="N68" s="163" t="s">
        <v>21</v>
      </c>
      <c r="O68" s="174"/>
    </row>
    <row r="69" spans="1:15" ht="14.5" x14ac:dyDescent="0.35">
      <c r="A69" s="199"/>
      <c r="B69" s="176" t="s">
        <v>218</v>
      </c>
      <c r="C69" s="239" t="s">
        <v>20</v>
      </c>
      <c r="D69" s="239"/>
      <c r="E69" s="179" t="s">
        <v>219</v>
      </c>
      <c r="F69" s="178" t="s">
        <v>39</v>
      </c>
      <c r="G69" s="126" t="s">
        <v>21</v>
      </c>
      <c r="H69" s="238" t="s">
        <v>20</v>
      </c>
      <c r="I69" s="238"/>
      <c r="J69" s="238"/>
      <c r="K69" s="238"/>
      <c r="L69" s="136">
        <v>1878</v>
      </c>
      <c r="M69" s="136" t="s">
        <v>39</v>
      </c>
      <c r="N69" s="163" t="s">
        <v>21</v>
      </c>
      <c r="O69" s="174"/>
    </row>
    <row r="70" spans="1:15" ht="14.5" x14ac:dyDescent="0.35">
      <c r="A70" s="200"/>
      <c r="B70" s="176" t="s">
        <v>220</v>
      </c>
      <c r="C70" s="239" t="s">
        <v>20</v>
      </c>
      <c r="D70" s="239"/>
      <c r="E70" s="179" t="s">
        <v>221</v>
      </c>
      <c r="F70" s="178" t="s">
        <v>39</v>
      </c>
      <c r="G70" s="126" t="s">
        <v>21</v>
      </c>
      <c r="H70" s="238" t="s">
        <v>20</v>
      </c>
      <c r="I70" s="238"/>
      <c r="J70" s="238"/>
      <c r="K70" s="238"/>
      <c r="L70" s="136">
        <v>1880</v>
      </c>
      <c r="M70" s="136" t="s">
        <v>39</v>
      </c>
      <c r="N70" s="163" t="s">
        <v>21</v>
      </c>
      <c r="O70" s="174"/>
    </row>
    <row r="71" spans="1:15" ht="19.5" customHeight="1" x14ac:dyDescent="0.35">
      <c r="A71" s="175" t="s">
        <v>32</v>
      </c>
      <c r="B71" s="176" t="s">
        <v>222</v>
      </c>
      <c r="C71" s="223" t="s">
        <v>20</v>
      </c>
      <c r="D71" s="237"/>
      <c r="E71" s="127" t="s">
        <v>223</v>
      </c>
      <c r="F71" s="127" t="s">
        <v>39</v>
      </c>
      <c r="G71" s="130" t="s">
        <v>21</v>
      </c>
      <c r="H71" s="225" t="s">
        <v>20</v>
      </c>
      <c r="I71" s="241"/>
      <c r="J71" s="241"/>
      <c r="K71" s="242"/>
      <c r="L71" s="139" t="s">
        <v>224</v>
      </c>
      <c r="M71" s="139" t="s">
        <v>39</v>
      </c>
      <c r="N71" s="162" t="s">
        <v>21</v>
      </c>
      <c r="O71" s="174"/>
    </row>
    <row r="72" spans="1:15" ht="15" customHeight="1" thickBot="1" x14ac:dyDescent="0.4">
      <c r="A72" s="201" t="s">
        <v>225</v>
      </c>
      <c r="B72" s="202"/>
      <c r="C72" s="203" t="s">
        <v>226</v>
      </c>
      <c r="D72" s="204"/>
      <c r="E72" s="204"/>
      <c r="F72" s="204"/>
      <c r="G72" s="204"/>
      <c r="H72" s="203" t="s">
        <v>226</v>
      </c>
      <c r="I72" s="204"/>
      <c r="J72" s="204"/>
      <c r="K72" s="204"/>
      <c r="L72" s="204"/>
      <c r="M72" s="204"/>
      <c r="N72" s="205"/>
      <c r="O72" s="174"/>
    </row>
    <row r="73" spans="1:15" ht="15" customHeight="1" x14ac:dyDescent="0.35">
      <c r="A73" s="174"/>
      <c r="B73" s="174"/>
      <c r="C73" s="174"/>
      <c r="D73" s="174"/>
      <c r="E73" s="184"/>
      <c r="F73" s="174"/>
      <c r="G73" s="174"/>
      <c r="H73" s="174"/>
      <c r="I73" s="174"/>
      <c r="J73" s="174"/>
      <c r="K73" s="174"/>
      <c r="L73" s="174"/>
      <c r="M73" s="174"/>
      <c r="N73" s="174"/>
      <c r="O73" s="174"/>
    </row>
    <row r="74" spans="1:15" ht="15" customHeight="1" x14ac:dyDescent="0.35">
      <c r="A74" s="174"/>
      <c r="B74" s="174"/>
      <c r="C74" s="174"/>
      <c r="D74" s="174"/>
      <c r="E74" s="184"/>
      <c r="F74" s="174"/>
      <c r="G74" s="174"/>
      <c r="H74" s="174"/>
      <c r="I74" s="174"/>
      <c r="J74" s="174"/>
      <c r="K74" s="174"/>
      <c r="L74" s="174"/>
      <c r="M74" s="174"/>
      <c r="N74" s="174"/>
      <c r="O74" s="174"/>
    </row>
    <row r="75" spans="1:15" ht="15" customHeight="1" x14ac:dyDescent="0.35">
      <c r="A75" s="174"/>
      <c r="B75" s="174"/>
      <c r="C75" s="174"/>
      <c r="D75" s="174"/>
      <c r="E75" s="184"/>
      <c r="F75" s="174"/>
      <c r="G75" s="174"/>
      <c r="H75" s="174"/>
      <c r="I75" s="174"/>
      <c r="J75" s="174"/>
      <c r="K75" s="174"/>
      <c r="L75" s="174"/>
      <c r="M75" s="174"/>
      <c r="N75" s="174"/>
      <c r="O75" s="174"/>
    </row>
    <row r="76" spans="1:15" ht="15" customHeight="1" x14ac:dyDescent="0.35">
      <c r="A76" s="174"/>
      <c r="B76" s="174"/>
      <c r="C76" s="174"/>
      <c r="D76" s="174"/>
      <c r="E76" s="184"/>
      <c r="F76" s="174"/>
      <c r="G76" s="174"/>
      <c r="H76" s="174"/>
      <c r="I76" s="174"/>
      <c r="J76" s="174"/>
      <c r="K76" s="174"/>
      <c r="L76" s="174"/>
      <c r="M76" s="174"/>
      <c r="N76" s="174"/>
      <c r="O76" s="174"/>
    </row>
    <row r="77" spans="1:15" ht="15" customHeight="1" x14ac:dyDescent="0.35">
      <c r="A77" s="174"/>
      <c r="B77" s="174"/>
      <c r="C77" s="174"/>
      <c r="D77" s="174"/>
      <c r="E77" s="184"/>
      <c r="F77" s="174"/>
      <c r="G77" s="174"/>
      <c r="H77" s="174"/>
      <c r="I77" s="174"/>
      <c r="J77" s="174"/>
      <c r="K77" s="174"/>
      <c r="L77" s="174"/>
      <c r="M77" s="174"/>
      <c r="N77" s="174"/>
      <c r="O77" s="174"/>
    </row>
    <row r="78" spans="1:15" ht="15" customHeight="1" x14ac:dyDescent="0.35">
      <c r="A78" s="174"/>
      <c r="B78" s="174"/>
      <c r="C78" s="174"/>
      <c r="D78" s="174"/>
      <c r="E78" s="184"/>
      <c r="F78" s="174"/>
      <c r="G78" s="174"/>
      <c r="H78" s="174"/>
      <c r="I78" s="174"/>
      <c r="J78" s="174"/>
      <c r="K78" s="174"/>
      <c r="L78" s="174"/>
      <c r="M78" s="174"/>
      <c r="N78" s="174"/>
      <c r="O78" s="174"/>
    </row>
  </sheetData>
  <sheetProtection algorithmName="SHA-512" hashValue="kD1ZWOeDcaPqAutPBuRzEmejxqsdusuMzOYzKTYwyfu6aGU2JCECI5SMj1/CKm0OIkaiv5FkglvcvN+xygKQYQ==" saltValue="561D26CUDg6zy2thP7MKfg==" spinCount="100000" sheet="1" objects="1" scenarios="1"/>
  <mergeCells count="35">
    <mergeCell ref="C7:D7"/>
    <mergeCell ref="C71:D71"/>
    <mergeCell ref="H67:K67"/>
    <mergeCell ref="H68:K68"/>
    <mergeCell ref="C53:D53"/>
    <mergeCell ref="H53:K53"/>
    <mergeCell ref="H69:K69"/>
    <mergeCell ref="H70:K70"/>
    <mergeCell ref="H71:K71"/>
    <mergeCell ref="C68:D68"/>
    <mergeCell ref="C69:D69"/>
    <mergeCell ref="C70:D70"/>
    <mergeCell ref="C67:D67"/>
    <mergeCell ref="A1:B2"/>
    <mergeCell ref="C1:N1"/>
    <mergeCell ref="C3:E3"/>
    <mergeCell ref="C6:D6"/>
    <mergeCell ref="C54:D54"/>
    <mergeCell ref="A8:A9"/>
    <mergeCell ref="H54:K54"/>
    <mergeCell ref="H6:K6"/>
    <mergeCell ref="M3:M5"/>
    <mergeCell ref="N3:N5"/>
    <mergeCell ref="C2:G2"/>
    <mergeCell ref="H2:N2"/>
    <mergeCell ref="A3:B4"/>
    <mergeCell ref="H3:L3"/>
    <mergeCell ref="G3:G5"/>
    <mergeCell ref="F3:F5"/>
    <mergeCell ref="E4:E5"/>
    <mergeCell ref="L4:L5"/>
    <mergeCell ref="A67:A70"/>
    <mergeCell ref="A72:B72"/>
    <mergeCell ref="C72:G72"/>
    <mergeCell ref="H72:N72"/>
  </mergeCells>
  <phoneticPr fontId="25"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52"/>
  <sheetViews>
    <sheetView topLeftCell="A29" zoomScale="70" zoomScaleNormal="70" workbookViewId="0"/>
  </sheetViews>
  <sheetFormatPr baseColWidth="10" defaultColWidth="11.453125" defaultRowHeight="14.5" x14ac:dyDescent="0.35"/>
  <cols>
    <col min="2" max="2" width="64.453125" style="70" customWidth="1"/>
    <col min="3" max="3" width="11.54296875" style="4"/>
    <col min="4" max="7" width="12.81640625" customWidth="1"/>
  </cols>
  <sheetData>
    <row r="1" spans="1:8" ht="15.5" x14ac:dyDescent="0.35">
      <c r="A1" s="20" t="s">
        <v>231</v>
      </c>
      <c r="B1" s="67" t="s">
        <v>452</v>
      </c>
      <c r="C1" s="9" t="s">
        <v>445</v>
      </c>
      <c r="D1" s="9" t="s">
        <v>530</v>
      </c>
      <c r="E1" s="9" t="s">
        <v>531</v>
      </c>
      <c r="F1" s="9" t="s">
        <v>532</v>
      </c>
      <c r="G1" s="9" t="s">
        <v>533</v>
      </c>
    </row>
    <row r="2" spans="1:8" ht="58" x14ac:dyDescent="0.35">
      <c r="A2" s="21" t="s">
        <v>452</v>
      </c>
      <c r="B2" s="68" t="str">
        <f>'Factor técnico'!B4</f>
        <v>Contratos de Seguridad ciudadana de construcción y/o adecuación y/o implementación de centros de monitoreo y/o salas de monitoreo y/o salas integradas de emergencia y seguridad (SIES) y/o centros de comando y control en Colombia</v>
      </c>
      <c r="C2" s="8">
        <f>'Factor técnico'!C4</f>
        <v>80</v>
      </c>
      <c r="D2" s="8">
        <v>60</v>
      </c>
      <c r="E2" s="8">
        <v>40</v>
      </c>
      <c r="F2" s="8">
        <v>20</v>
      </c>
      <c r="G2" s="8">
        <v>0</v>
      </c>
    </row>
    <row r="3" spans="1:8" ht="15.5" x14ac:dyDescent="0.35">
      <c r="A3" s="21"/>
      <c r="B3" s="68"/>
      <c r="C3" s="65"/>
      <c r="D3" s="4"/>
      <c r="E3" s="4"/>
      <c r="F3" s="4"/>
      <c r="G3" s="4"/>
    </row>
    <row r="4" spans="1:8" ht="15.5" x14ac:dyDescent="0.35">
      <c r="A4" s="21"/>
      <c r="B4" s="68" t="s">
        <v>456</v>
      </c>
      <c r="C4" s="66" t="s">
        <v>445</v>
      </c>
      <c r="D4" s="9" t="s">
        <v>530</v>
      </c>
      <c r="E4" s="9" t="s">
        <v>531</v>
      </c>
      <c r="F4" s="9" t="s">
        <v>532</v>
      </c>
      <c r="G4" s="9" t="s">
        <v>533</v>
      </c>
    </row>
    <row r="5" spans="1:8" ht="58" x14ac:dyDescent="0.35">
      <c r="A5" s="22" t="s">
        <v>456</v>
      </c>
      <c r="B5" s="68" t="str">
        <f>'Factor técnico'!B5</f>
        <v>Contratos de Seguridad ciudadana de construcción y/o adecuación y/o implementación de centros de monitoreo y/o salas de monitoreo y/o salas integradas de emergencia y seguridad (SIES) y/o centros de comando y control en diferentes municipios de Colombiaa</v>
      </c>
      <c r="C5" s="8">
        <f>'Factor técnico'!C5</f>
        <v>30</v>
      </c>
      <c r="D5" s="4">
        <v>20</v>
      </c>
      <c r="E5" s="4">
        <v>10</v>
      </c>
      <c r="F5" s="4">
        <v>0</v>
      </c>
      <c r="G5" s="4"/>
    </row>
    <row r="6" spans="1:8" ht="15.5" x14ac:dyDescent="0.35">
      <c r="A6" s="22"/>
      <c r="B6" s="69"/>
      <c r="D6" s="4"/>
      <c r="E6" s="4"/>
      <c r="F6" s="4"/>
      <c r="G6" s="4"/>
    </row>
    <row r="7" spans="1:8" ht="15.5" x14ac:dyDescent="0.35">
      <c r="A7" s="22"/>
      <c r="B7" s="69" t="s">
        <v>460</v>
      </c>
      <c r="C7" s="9" t="s">
        <v>445</v>
      </c>
      <c r="D7" s="9" t="s">
        <v>530</v>
      </c>
      <c r="E7" s="9" t="s">
        <v>531</v>
      </c>
      <c r="F7" s="9" t="s">
        <v>532</v>
      </c>
      <c r="G7" s="9" t="s">
        <v>533</v>
      </c>
    </row>
    <row r="8" spans="1:8" ht="43.5" x14ac:dyDescent="0.35">
      <c r="A8" s="21" t="s">
        <v>460</v>
      </c>
      <c r="B8" s="69" t="str">
        <f>'Factor técnico'!B6</f>
        <v>Contratos de suministro y/o instalación y/o implementación de sistemas de proyección y/o visualización de gran formato (Video Wall), en edificaciones institucionales y/o públicas y/o gubernamentales</v>
      </c>
      <c r="C8" s="8">
        <f>'Factor técnico'!C6</f>
        <v>50</v>
      </c>
      <c r="D8" s="4">
        <v>25</v>
      </c>
      <c r="E8" s="4">
        <v>20</v>
      </c>
      <c r="F8" s="4">
        <v>0</v>
      </c>
      <c r="G8" s="4"/>
    </row>
    <row r="9" spans="1:8" ht="15.5" x14ac:dyDescent="0.35">
      <c r="A9" s="21"/>
      <c r="B9" s="69"/>
      <c r="D9" s="4"/>
      <c r="E9" s="4"/>
      <c r="F9" s="4"/>
      <c r="G9" s="4"/>
    </row>
    <row r="10" spans="1:8" ht="15.5" x14ac:dyDescent="0.35">
      <c r="A10" s="21"/>
      <c r="B10" s="69" t="s">
        <v>464</v>
      </c>
      <c r="C10" s="9" t="s">
        <v>445</v>
      </c>
      <c r="D10" s="9" t="s">
        <v>530</v>
      </c>
      <c r="E10" s="9" t="s">
        <v>531</v>
      </c>
      <c r="F10" s="9" t="s">
        <v>532</v>
      </c>
      <c r="G10" s="9" t="s">
        <v>533</v>
      </c>
      <c r="H10" s="9" t="s">
        <v>534</v>
      </c>
    </row>
    <row r="11" spans="1:8" ht="37.5" customHeight="1" x14ac:dyDescent="0.35">
      <c r="A11" s="22" t="s">
        <v>464</v>
      </c>
      <c r="B11" s="69" t="str">
        <f>'Factor técnico'!B7</f>
        <v>Contratos de seguridad ciudadana de suministro, instalación y configuración de puntos de cableado estructurado</v>
      </c>
      <c r="C11" s="8">
        <f>'Factor técnico'!C7</f>
        <v>30</v>
      </c>
      <c r="D11" s="4">
        <v>25</v>
      </c>
      <c r="E11" s="4">
        <v>20</v>
      </c>
      <c r="F11" s="4">
        <v>15</v>
      </c>
      <c r="G11" s="4">
        <v>10</v>
      </c>
      <c r="H11" s="4">
        <v>0</v>
      </c>
    </row>
    <row r="12" spans="1:8" ht="15.5" x14ac:dyDescent="0.35">
      <c r="A12" s="22"/>
      <c r="B12" s="69"/>
      <c r="D12" s="4"/>
      <c r="E12" s="4"/>
      <c r="F12" s="4"/>
      <c r="G12" s="4"/>
    </row>
    <row r="13" spans="1:8" ht="15.5" x14ac:dyDescent="0.35">
      <c r="A13" s="22"/>
      <c r="B13" s="69" t="s">
        <v>469</v>
      </c>
      <c r="C13" s="9" t="s">
        <v>445</v>
      </c>
      <c r="D13" s="9" t="s">
        <v>530</v>
      </c>
      <c r="E13" s="9" t="s">
        <v>531</v>
      </c>
      <c r="F13" s="9" t="s">
        <v>532</v>
      </c>
      <c r="G13" s="9" t="s">
        <v>533</v>
      </c>
    </row>
    <row r="14" spans="1:8" ht="43.5" x14ac:dyDescent="0.35">
      <c r="A14" s="21" t="s">
        <v>469</v>
      </c>
      <c r="B14" s="69" t="str">
        <f>'Factor técnico'!B8</f>
        <v>Contratos de Suministro, Instalación y puesta en funcionamiento de redes de comunicación en edificaciones institucionales y/o públicas y/o gubernamentales</v>
      </c>
      <c r="C14" s="8">
        <f>'Factor técnico'!C8</f>
        <v>24</v>
      </c>
      <c r="D14" s="4">
        <v>18</v>
      </c>
      <c r="E14" s="4">
        <v>12</v>
      </c>
      <c r="F14" s="4">
        <v>6</v>
      </c>
      <c r="G14" s="4">
        <v>0</v>
      </c>
    </row>
    <row r="15" spans="1:8" ht="15.5" x14ac:dyDescent="0.35">
      <c r="A15" s="21"/>
      <c r="B15" s="69"/>
      <c r="D15" s="4"/>
      <c r="E15" s="4"/>
      <c r="F15" s="4"/>
      <c r="G15" s="4"/>
    </row>
    <row r="16" spans="1:8" ht="15.5" x14ac:dyDescent="0.35">
      <c r="A16" s="21"/>
      <c r="B16" s="69" t="s">
        <v>473</v>
      </c>
      <c r="C16" s="9" t="s">
        <v>445</v>
      </c>
      <c r="D16" s="9" t="s">
        <v>530</v>
      </c>
      <c r="E16" s="9" t="s">
        <v>531</v>
      </c>
      <c r="F16" s="9" t="s">
        <v>532</v>
      </c>
      <c r="G16" s="9" t="s">
        <v>533</v>
      </c>
    </row>
    <row r="17" spans="1:9" ht="29" x14ac:dyDescent="0.35">
      <c r="A17" s="22" t="s">
        <v>473</v>
      </c>
      <c r="B17" s="69" t="str">
        <f>'Factor técnico'!B9</f>
        <v>Contratos de seguridad ciudadana, de soluciones de gestión de video y/o sistemas de administración de video (VMS)</v>
      </c>
      <c r="C17" s="8">
        <f>'Factor técnico'!C9</f>
        <v>12</v>
      </c>
      <c r="D17" s="4">
        <v>9</v>
      </c>
      <c r="E17" s="4">
        <v>6</v>
      </c>
      <c r="F17" s="4">
        <v>3</v>
      </c>
      <c r="G17" s="4">
        <v>0</v>
      </c>
    </row>
    <row r="18" spans="1:9" ht="15.5" x14ac:dyDescent="0.35">
      <c r="A18" s="22"/>
      <c r="B18" s="69"/>
      <c r="D18" s="4"/>
      <c r="E18" s="4"/>
      <c r="F18" s="4"/>
      <c r="G18" s="4"/>
    </row>
    <row r="19" spans="1:9" ht="15.5" x14ac:dyDescent="0.35">
      <c r="A19" s="22"/>
      <c r="B19" s="69" t="s">
        <v>477</v>
      </c>
      <c r="C19" s="24" t="s">
        <v>445</v>
      </c>
      <c r="D19" s="24" t="s">
        <v>530</v>
      </c>
      <c r="E19" s="24" t="s">
        <v>531</v>
      </c>
      <c r="F19" s="24" t="s">
        <v>532</v>
      </c>
      <c r="G19" s="25" t="s">
        <v>533</v>
      </c>
      <c r="H19" s="25" t="s">
        <v>534</v>
      </c>
      <c r="I19" s="25" t="s">
        <v>535</v>
      </c>
    </row>
    <row r="20" spans="1:9" ht="58" x14ac:dyDescent="0.35">
      <c r="A20" s="21" t="s">
        <v>477</v>
      </c>
      <c r="B20" s="69" t="str">
        <f>'Factor técnico'!B10</f>
        <v>Contratos cuyo objeto, alcance o actividades contengan: Suministro y/o instalación y/o integración de BMS (Business Managment System) y/o automatización, en edificaciones institucionales y/o públicas y/o gubernamentales</v>
      </c>
      <c r="C20" s="8">
        <f>'Factor técnico'!C10</f>
        <v>30</v>
      </c>
      <c r="D20" s="4">
        <v>25</v>
      </c>
      <c r="E20" s="4">
        <v>20</v>
      </c>
      <c r="F20" s="4">
        <v>15</v>
      </c>
      <c r="G20" s="4">
        <v>10</v>
      </c>
      <c r="H20" s="4">
        <v>5</v>
      </c>
      <c r="I20" s="4">
        <v>0</v>
      </c>
    </row>
    <row r="21" spans="1:9" ht="15.5" x14ac:dyDescent="0.35">
      <c r="A21" s="21"/>
      <c r="B21" s="69"/>
      <c r="D21" s="4"/>
      <c r="E21" s="4"/>
      <c r="F21" s="4"/>
      <c r="G21" s="4"/>
    </row>
    <row r="22" spans="1:9" ht="15.5" x14ac:dyDescent="0.35">
      <c r="A22" s="21"/>
      <c r="B22" s="69" t="s">
        <v>481</v>
      </c>
      <c r="C22" s="24" t="s">
        <v>445</v>
      </c>
      <c r="D22" s="24" t="s">
        <v>530</v>
      </c>
      <c r="E22" s="24" t="s">
        <v>531</v>
      </c>
      <c r="F22" s="24" t="s">
        <v>532</v>
      </c>
      <c r="G22" s="25" t="s">
        <v>533</v>
      </c>
    </row>
    <row r="23" spans="1:9" ht="43.5" x14ac:dyDescent="0.35">
      <c r="A23" s="22" t="s">
        <v>481</v>
      </c>
      <c r="B23" s="69" t="str">
        <f>'Factor técnico'!B11</f>
        <v>Contratos de Suministro e Instalación, de sistemas de voceo y/o megafonía y/o audio y/o sonido en edificaciones institucionales y/o públicas y/o estatales y/o gubernamentales</v>
      </c>
      <c r="C23" s="8">
        <f>'Factor técnico'!C11</f>
        <v>25</v>
      </c>
      <c r="D23" s="4">
        <v>15</v>
      </c>
      <c r="E23" s="4">
        <v>10</v>
      </c>
      <c r="F23" s="4">
        <v>0</v>
      </c>
      <c r="G23" s="4"/>
    </row>
    <row r="24" spans="1:9" ht="15.5" x14ac:dyDescent="0.35">
      <c r="A24" s="22"/>
      <c r="B24" s="69"/>
      <c r="D24" s="4"/>
      <c r="E24" s="4"/>
      <c r="F24" s="4"/>
      <c r="G24" s="4"/>
    </row>
    <row r="25" spans="1:9" ht="15.5" x14ac:dyDescent="0.35">
      <c r="A25" s="22"/>
      <c r="B25" s="69" t="s">
        <v>486</v>
      </c>
      <c r="C25" s="24" t="s">
        <v>445</v>
      </c>
      <c r="D25" s="24" t="s">
        <v>530</v>
      </c>
      <c r="E25" s="24" t="s">
        <v>531</v>
      </c>
      <c r="F25" s="24" t="s">
        <v>532</v>
      </c>
      <c r="G25" s="25" t="s">
        <v>533</v>
      </c>
    </row>
    <row r="26" spans="1:9" ht="72.5" x14ac:dyDescent="0.35">
      <c r="A26" s="21" t="s">
        <v>486</v>
      </c>
      <c r="B26" s="69" t="str">
        <f>'Factor técnico'!B12</f>
        <v>Contratos de seguridad ciudadana de suministro y/o construcción y/o adecuación de centros de monitoreo y/o salas de monitoreo y/o salas integradas de emergencia y seguridad (SIES) y/o centros de comando y control, que incluyan el suministro e instalación de lectoras biométricas y/o faciales y/o sistemas de identificación biométrica.</v>
      </c>
      <c r="C26" s="8">
        <f>'Factor técnico'!C12</f>
        <v>12</v>
      </c>
      <c r="D26" s="4">
        <v>8</v>
      </c>
      <c r="E26" s="4">
        <v>4</v>
      </c>
      <c r="F26" s="4">
        <v>0</v>
      </c>
      <c r="G26" s="4"/>
    </row>
    <row r="27" spans="1:9" ht="15.5" x14ac:dyDescent="0.35">
      <c r="A27" s="21"/>
      <c r="B27" s="69"/>
      <c r="D27" s="4"/>
      <c r="E27" s="4"/>
      <c r="F27" s="4"/>
      <c r="G27" s="4"/>
    </row>
    <row r="28" spans="1:9" ht="15.5" x14ac:dyDescent="0.35">
      <c r="A28" s="21"/>
      <c r="B28" s="69" t="s">
        <v>490</v>
      </c>
      <c r="C28" s="24" t="s">
        <v>445</v>
      </c>
      <c r="D28" s="24" t="s">
        <v>530</v>
      </c>
      <c r="E28" s="24" t="s">
        <v>531</v>
      </c>
      <c r="F28" s="24" t="s">
        <v>532</v>
      </c>
      <c r="G28" s="25" t="s">
        <v>533</v>
      </c>
    </row>
    <row r="29" spans="1:9" ht="58" x14ac:dyDescent="0.35">
      <c r="A29" s="22" t="s">
        <v>490</v>
      </c>
      <c r="B29" s="69" t="str">
        <f>'Factor técnico'!B13</f>
        <v>Contratos de seguridad ciudadana de construcción y/o adecuación de centros de monitoreo y/o salas de monitoreo y/o salas integradas de emergencia y seguridad (SIES) y/o centros de comando y control, que incluyan el suministro e instalación de CCTV interno</v>
      </c>
      <c r="C29" s="8">
        <f>'Factor técnico'!C13</f>
        <v>12</v>
      </c>
      <c r="D29" s="4">
        <v>9</v>
      </c>
      <c r="E29" s="4">
        <v>6</v>
      </c>
      <c r="F29" s="4">
        <v>3</v>
      </c>
      <c r="G29" s="4">
        <v>0</v>
      </c>
    </row>
    <row r="30" spans="1:9" ht="15.5" x14ac:dyDescent="0.35">
      <c r="A30" s="22"/>
      <c r="B30" s="69"/>
      <c r="D30" s="4"/>
      <c r="E30" s="4"/>
      <c r="F30" s="4"/>
      <c r="G30" s="4"/>
    </row>
    <row r="31" spans="1:9" ht="15.5" x14ac:dyDescent="0.35">
      <c r="A31" s="22"/>
      <c r="B31" s="69" t="s">
        <v>494</v>
      </c>
      <c r="C31" s="24" t="s">
        <v>445</v>
      </c>
      <c r="D31" s="24" t="s">
        <v>530</v>
      </c>
      <c r="E31" s="24" t="s">
        <v>531</v>
      </c>
      <c r="F31" s="24" t="s">
        <v>532</v>
      </c>
      <c r="G31" s="25" t="s">
        <v>533</v>
      </c>
      <c r="H31" s="25" t="s">
        <v>534</v>
      </c>
    </row>
    <row r="32" spans="1:9" ht="43.5" x14ac:dyDescent="0.35">
      <c r="A32" s="21" t="s">
        <v>494</v>
      </c>
      <c r="B32" s="69" t="str">
        <f>'Factor técnico'!B14</f>
        <v>Contratos de construcción y/o adecuación y/o implementación de Data Center y/o Centros de Cableado y/o Salas de Cómputo, en edificaciones institucionales y/o públicas y/ estatales y/o gubernamentales,</v>
      </c>
      <c r="C32" s="8">
        <f>'Factor técnico'!C14</f>
        <v>50</v>
      </c>
      <c r="D32" s="4">
        <v>25</v>
      </c>
      <c r="E32" s="4">
        <v>15</v>
      </c>
      <c r="F32" s="4">
        <v>10</v>
      </c>
      <c r="G32" s="4">
        <v>5</v>
      </c>
      <c r="H32" s="4">
        <v>0</v>
      </c>
    </row>
    <row r="33" spans="1:14" ht="15.5" x14ac:dyDescent="0.35">
      <c r="A33" s="21"/>
      <c r="B33" s="69"/>
      <c r="D33" s="4"/>
      <c r="E33" s="4"/>
      <c r="F33" s="4"/>
      <c r="G33" s="4"/>
    </row>
    <row r="34" spans="1:14" ht="15.5" x14ac:dyDescent="0.35">
      <c r="A34" s="21"/>
      <c r="B34" s="69" t="s">
        <v>498</v>
      </c>
      <c r="C34" s="24" t="s">
        <v>445</v>
      </c>
      <c r="D34" s="24" t="s">
        <v>530</v>
      </c>
      <c r="E34" s="24" t="s">
        <v>531</v>
      </c>
      <c r="F34" s="24" t="s">
        <v>532</v>
      </c>
      <c r="G34" s="25" t="s">
        <v>533</v>
      </c>
    </row>
    <row r="35" spans="1:14" ht="72.5" x14ac:dyDescent="0.35">
      <c r="A35" s="22" t="s">
        <v>498</v>
      </c>
      <c r="B35" s="69" t="str">
        <f>'Factor técnico'!B15</f>
        <v>Contratos de seguridad ciudadana de construcción y/o adecuación de centros de monitoreo y/o salas de monitoreo y/o salas integradas de emergencia y seguridad (SIES) y/o centros de comando y control, que incluyan el suministro, instalación y configuración de teléfonos y/o plantas telefónicas.</v>
      </c>
      <c r="C35" s="8">
        <f>'Factor técnico'!C15</f>
        <v>12</v>
      </c>
      <c r="D35" s="4">
        <v>9</v>
      </c>
      <c r="E35" s="4">
        <v>6</v>
      </c>
      <c r="F35" s="4">
        <v>3</v>
      </c>
      <c r="G35" s="4"/>
    </row>
    <row r="36" spans="1:14" ht="15.5" x14ac:dyDescent="0.35">
      <c r="A36" s="22"/>
      <c r="B36" s="69"/>
      <c r="D36" s="4"/>
      <c r="E36" s="4"/>
      <c r="F36" s="4"/>
      <c r="G36" s="4"/>
    </row>
    <row r="37" spans="1:14" ht="15.5" x14ac:dyDescent="0.35">
      <c r="A37" s="22"/>
      <c r="B37" s="69" t="s">
        <v>502</v>
      </c>
      <c r="C37" s="24" t="s">
        <v>445</v>
      </c>
      <c r="D37" s="24" t="s">
        <v>530</v>
      </c>
      <c r="E37" s="24" t="s">
        <v>531</v>
      </c>
      <c r="F37" s="24" t="s">
        <v>532</v>
      </c>
      <c r="G37" s="25" t="s">
        <v>533</v>
      </c>
      <c r="H37" s="25" t="s">
        <v>536</v>
      </c>
      <c r="I37" s="25" t="s">
        <v>537</v>
      </c>
      <c r="J37" s="25" t="s">
        <v>538</v>
      </c>
      <c r="K37" s="25" t="s">
        <v>539</v>
      </c>
      <c r="L37" s="25" t="s">
        <v>540</v>
      </c>
      <c r="M37" s="25" t="s">
        <v>541</v>
      </c>
      <c r="N37" s="25" t="s">
        <v>542</v>
      </c>
    </row>
    <row r="38" spans="1:14" ht="43.5" x14ac:dyDescent="0.35">
      <c r="A38" s="21" t="s">
        <v>502</v>
      </c>
      <c r="B38" s="69" t="str">
        <f>'Factor técnico'!B16</f>
        <v>Contratos de seguridad ciudadana de construcción de centros de monitoreo y/o salas de monitoreo y/o salas integradas de emergencia y seguridad (SIES) y/o centros de comando y control en Colombia</v>
      </c>
      <c r="C38" s="8">
        <f>'Factor técnico'!C16</f>
        <v>55</v>
      </c>
      <c r="D38" s="4">
        <v>50</v>
      </c>
      <c r="E38" s="4">
        <v>45</v>
      </c>
      <c r="F38" s="4">
        <v>40</v>
      </c>
      <c r="G38" s="4">
        <v>35</v>
      </c>
      <c r="H38" s="4">
        <v>30</v>
      </c>
      <c r="I38" s="4">
        <v>25</v>
      </c>
      <c r="J38" s="4">
        <v>20</v>
      </c>
      <c r="K38" s="4">
        <v>15</v>
      </c>
      <c r="L38" s="4">
        <v>10</v>
      </c>
      <c r="M38" s="4">
        <v>5</v>
      </c>
      <c r="N38" s="4">
        <v>0</v>
      </c>
    </row>
    <row r="39" spans="1:14" ht="15.5" x14ac:dyDescent="0.35">
      <c r="A39" s="21"/>
      <c r="B39" s="69"/>
      <c r="D39" s="4"/>
      <c r="E39" s="4"/>
      <c r="F39" s="4"/>
      <c r="G39" s="4"/>
    </row>
    <row r="40" spans="1:14" ht="15.5" x14ac:dyDescent="0.35">
      <c r="A40" s="21"/>
      <c r="B40" s="69" t="s">
        <v>508</v>
      </c>
      <c r="C40" s="24" t="s">
        <v>445</v>
      </c>
      <c r="D40" s="24" t="s">
        <v>530</v>
      </c>
      <c r="E40" s="24" t="s">
        <v>531</v>
      </c>
      <c r="F40" s="24" t="s">
        <v>532</v>
      </c>
      <c r="G40" s="25" t="s">
        <v>533</v>
      </c>
      <c r="H40" s="72" t="s">
        <v>534</v>
      </c>
    </row>
    <row r="41" spans="1:14" ht="58" x14ac:dyDescent="0.35">
      <c r="A41" s="22" t="s">
        <v>508</v>
      </c>
      <c r="B41" s="69" t="str">
        <f>'Factor técnico'!B17</f>
        <v>Contratos de seguridad ciudadana de construcción de centros de monitoreo y/o salas de monitoreo y/o salas integradas de emergencia y seguridad (SIES) y/o centros de comando y control en función del área construida</v>
      </c>
      <c r="C41" s="58">
        <f>'Factor técnico'!C17</f>
        <v>50</v>
      </c>
      <c r="D41" s="4">
        <v>40</v>
      </c>
      <c r="E41" s="4">
        <v>30</v>
      </c>
      <c r="F41" s="4">
        <v>20</v>
      </c>
      <c r="G41" s="4">
        <v>10</v>
      </c>
      <c r="H41" s="4">
        <v>0</v>
      </c>
    </row>
    <row r="42" spans="1:14" ht="15.5" x14ac:dyDescent="0.35">
      <c r="A42" s="22"/>
      <c r="B42" s="69"/>
      <c r="D42" s="4"/>
      <c r="E42" s="4"/>
      <c r="F42" s="4"/>
      <c r="G42" s="4"/>
    </row>
    <row r="43" spans="1:14" ht="15.5" x14ac:dyDescent="0.35">
      <c r="A43" s="22"/>
      <c r="B43" s="69" t="s">
        <v>512</v>
      </c>
      <c r="C43" s="24" t="s">
        <v>445</v>
      </c>
      <c r="D43" s="24" t="s">
        <v>530</v>
      </c>
      <c r="E43" s="24" t="s">
        <v>531</v>
      </c>
      <c r="F43" s="24" t="s">
        <v>532</v>
      </c>
      <c r="G43" s="25" t="s">
        <v>533</v>
      </c>
      <c r="H43" s="72" t="s">
        <v>534</v>
      </c>
      <c r="I43" s="72" t="s">
        <v>535</v>
      </c>
      <c r="J43" s="72" t="s">
        <v>543</v>
      </c>
      <c r="K43" s="72" t="s">
        <v>544</v>
      </c>
      <c r="L43" s="72" t="s">
        <v>545</v>
      </c>
      <c r="M43" s="72" t="s">
        <v>546</v>
      </c>
      <c r="N43" s="72" t="s">
        <v>547</v>
      </c>
    </row>
    <row r="44" spans="1:14" ht="43.5" x14ac:dyDescent="0.35">
      <c r="A44" s="21" t="s">
        <v>512</v>
      </c>
      <c r="B44" s="69" t="str">
        <f>'Factor técnico'!B18</f>
        <v>Contratos de suministro, instalación y configuración de sistemas multimedia en edificaciones institucionales y/o públicas y/o estatales y/o gubernamentales</v>
      </c>
      <c r="C44" s="8">
        <f>'Factor técnico'!C18</f>
        <v>33</v>
      </c>
      <c r="D44" s="4">
        <v>30</v>
      </c>
      <c r="E44" s="4">
        <v>27</v>
      </c>
      <c r="F44" s="4">
        <v>24</v>
      </c>
      <c r="G44" s="4">
        <v>21</v>
      </c>
      <c r="H44" s="4">
        <v>18</v>
      </c>
      <c r="I44" s="4">
        <v>15</v>
      </c>
      <c r="J44" s="4">
        <v>12</v>
      </c>
      <c r="K44" s="4">
        <v>9</v>
      </c>
      <c r="L44" s="4">
        <v>6</v>
      </c>
      <c r="M44" s="4">
        <v>3</v>
      </c>
      <c r="N44" s="4">
        <v>0</v>
      </c>
    </row>
    <row r="45" spans="1:14" ht="15.5" x14ac:dyDescent="0.35">
      <c r="A45" s="21"/>
      <c r="B45" s="69"/>
      <c r="D45" s="4"/>
      <c r="E45" s="4"/>
      <c r="F45" s="4"/>
      <c r="G45" s="4"/>
    </row>
    <row r="46" spans="1:14" ht="15.5" x14ac:dyDescent="0.35">
      <c r="A46" s="21"/>
      <c r="B46" s="69" t="s">
        <v>518</v>
      </c>
      <c r="C46" s="24" t="s">
        <v>445</v>
      </c>
      <c r="D46" s="24" t="s">
        <v>530</v>
      </c>
      <c r="E46" s="24" t="s">
        <v>531</v>
      </c>
      <c r="F46" s="24" t="s">
        <v>532</v>
      </c>
      <c r="G46" s="25" t="s">
        <v>533</v>
      </c>
      <c r="H46" s="72" t="s">
        <v>534</v>
      </c>
    </row>
    <row r="47" spans="1:14" ht="43.5" x14ac:dyDescent="0.35">
      <c r="A47" s="22" t="s">
        <v>518</v>
      </c>
      <c r="B47" s="69" t="str">
        <f>'Factor técnico'!B19</f>
        <v>Contratos de suministro y/o instalación y/o configuración de sistemas especiales de intrusión y protección de accesos en edificaciones institucionales y/o públicas y/o estatales y/o gubernamentales</v>
      </c>
      <c r="C47" s="8">
        <f>'Factor técnico'!C19</f>
        <v>15</v>
      </c>
      <c r="D47" s="4">
        <v>12</v>
      </c>
      <c r="E47" s="4">
        <v>9</v>
      </c>
      <c r="F47" s="4">
        <v>6</v>
      </c>
      <c r="G47" s="4">
        <v>3</v>
      </c>
      <c r="H47" s="4">
        <v>0</v>
      </c>
    </row>
    <row r="49" spans="1:33" ht="15.5" x14ac:dyDescent="0.35">
      <c r="A49" s="21"/>
      <c r="B49" s="69" t="s">
        <v>523</v>
      </c>
      <c r="C49" s="24" t="s">
        <v>445</v>
      </c>
      <c r="D49" s="24" t="s">
        <v>530</v>
      </c>
      <c r="E49" s="24" t="s">
        <v>531</v>
      </c>
      <c r="F49" s="24" t="s">
        <v>532</v>
      </c>
      <c r="G49" s="25" t="s">
        <v>533</v>
      </c>
      <c r="H49" s="72" t="s">
        <v>534</v>
      </c>
      <c r="I49" s="72" t="s">
        <v>535</v>
      </c>
      <c r="J49" s="72" t="s">
        <v>543</v>
      </c>
      <c r="K49" s="72" t="s">
        <v>544</v>
      </c>
      <c r="L49" s="72" t="s">
        <v>545</v>
      </c>
      <c r="M49" s="72" t="s">
        <v>546</v>
      </c>
      <c r="N49" s="72" t="s">
        <v>547</v>
      </c>
      <c r="O49" s="72" t="s">
        <v>548</v>
      </c>
      <c r="P49" s="72" t="s">
        <v>549</v>
      </c>
      <c r="Q49" s="72" t="s">
        <v>550</v>
      </c>
      <c r="R49" s="72" t="s">
        <v>551</v>
      </c>
      <c r="S49" s="72" t="s">
        <v>552</v>
      </c>
      <c r="T49" s="72" t="s">
        <v>553</v>
      </c>
      <c r="U49" s="72" t="s">
        <v>554</v>
      </c>
      <c r="V49" s="72" t="s">
        <v>555</v>
      </c>
      <c r="W49" s="72" t="s">
        <v>556</v>
      </c>
      <c r="X49" s="72" t="s">
        <v>557</v>
      </c>
      <c r="Y49" s="72" t="s">
        <v>558</v>
      </c>
      <c r="Z49" s="72" t="s">
        <v>559</v>
      </c>
      <c r="AA49" s="72" t="s">
        <v>560</v>
      </c>
      <c r="AB49" s="72" t="s">
        <v>561</v>
      </c>
      <c r="AC49" s="72" t="s">
        <v>562</v>
      </c>
      <c r="AD49" s="72" t="s">
        <v>563</v>
      </c>
      <c r="AE49" s="72" t="s">
        <v>564</v>
      </c>
      <c r="AF49" s="72" t="s">
        <v>565</v>
      </c>
      <c r="AG49" s="72" t="s">
        <v>566</v>
      </c>
    </row>
    <row r="50" spans="1:33" ht="43.5" x14ac:dyDescent="0.35">
      <c r="A50" s="22" t="s">
        <v>523</v>
      </c>
      <c r="B50" s="69" t="str">
        <f>'Factor técnico'!B20</f>
        <v>Contratos de suministro, instalación y/o puesta en funcionamiento de sistemas de iluminación en edificaciones institucionales y/o públicas y/o estatales y/o gubernamentales</v>
      </c>
      <c r="C50" s="8">
        <f>'Factor técnico'!C20</f>
        <v>15</v>
      </c>
      <c r="D50" s="4">
        <f>Tabla183[[#This Row],[Puntos]]-0.5</f>
        <v>14.5</v>
      </c>
      <c r="E50" s="4">
        <f>Tabla183[[#This Row],[Puntos2]]-0.5</f>
        <v>14</v>
      </c>
      <c r="F50" s="4">
        <f>Tabla183[[#This Row],[Puntos3]]-0.5</f>
        <v>13.5</v>
      </c>
      <c r="G50" s="4">
        <f>Tabla183[[#This Row],[Puntos4]]-0.5</f>
        <v>13</v>
      </c>
      <c r="H50" s="4">
        <f>Tabla183[[#This Row],[Puntos5]]-0.5</f>
        <v>12.5</v>
      </c>
      <c r="I50" s="4">
        <f>Tabla183[[#This Row],[Puntos6]]-0.5</f>
        <v>12</v>
      </c>
      <c r="J50" s="4">
        <f>Tabla183[[#This Row],[Puntos7]]-0.5</f>
        <v>11.5</v>
      </c>
      <c r="K50" s="4">
        <f>Tabla183[[#This Row],[Puntos8]]-0.5</f>
        <v>11</v>
      </c>
      <c r="L50" s="4">
        <f>Tabla183[[#This Row],[Puntos9]]-0.5</f>
        <v>10.5</v>
      </c>
      <c r="M50" s="4">
        <f>Tabla183[[#This Row],[Puntos10]]-0.5</f>
        <v>10</v>
      </c>
      <c r="N50" s="4">
        <f>Tabla183[[#This Row],[Puntos11]]-0.5</f>
        <v>9.5</v>
      </c>
      <c r="O50" s="4">
        <f>Tabla183[[#This Row],[Puntos12]]-0.5</f>
        <v>9</v>
      </c>
      <c r="P50" s="4">
        <f>Tabla183[[#This Row],[Puntos13]]-0.5</f>
        <v>8.5</v>
      </c>
      <c r="Q50" s="4">
        <f>Tabla183[[#This Row],[Puntos14]]-0.5</f>
        <v>8</v>
      </c>
      <c r="R50" s="4">
        <f>Tabla183[[#This Row],[Puntos15]]-0.5</f>
        <v>7.5</v>
      </c>
      <c r="S50" s="4">
        <f>Tabla183[[#This Row],[Puntos16]]-0.5</f>
        <v>7</v>
      </c>
      <c r="T50" s="4">
        <f>Tabla183[[#This Row],[Puntos17]]-0.5</f>
        <v>6.5</v>
      </c>
      <c r="U50" s="4">
        <f>Tabla183[[#This Row],[Puntos18]]-0.5</f>
        <v>6</v>
      </c>
      <c r="V50" s="4">
        <f>Tabla183[[#This Row],[Puntos19]]-0.5</f>
        <v>5.5</v>
      </c>
      <c r="W50" s="4">
        <f>Tabla183[[#This Row],[Puntos20]]-0.5</f>
        <v>5</v>
      </c>
      <c r="X50" s="4">
        <f>Tabla183[[#This Row],[Puntos21]]-0.5</f>
        <v>4.5</v>
      </c>
      <c r="Y50" s="4">
        <f>Tabla183[[#This Row],[Puntos22]]-0.5</f>
        <v>4</v>
      </c>
      <c r="Z50" s="4">
        <f>Tabla183[[#This Row],[Puntos23]]-0.5</f>
        <v>3.5</v>
      </c>
      <c r="AA50" s="4">
        <f>Tabla183[[#This Row],[Puntos24]]-0.5</f>
        <v>3</v>
      </c>
      <c r="AB50" s="4">
        <f>Tabla183[[#This Row],[Puntos25]]-0.5</f>
        <v>2.5</v>
      </c>
      <c r="AC50" s="4">
        <f>Tabla183[[#This Row],[Puntos26]]-0.5</f>
        <v>2</v>
      </c>
      <c r="AD50" s="4">
        <f>Tabla183[[#This Row],[Puntos27]]-0.5</f>
        <v>1.5</v>
      </c>
      <c r="AE50" s="4">
        <f>Tabla183[[#This Row],[Puntos28]]-0.5</f>
        <v>1</v>
      </c>
      <c r="AF50" s="4">
        <f>Tabla183[[#This Row],[Puntos29]]-0.5</f>
        <v>0.5</v>
      </c>
      <c r="AG50" s="4">
        <f>Tabla183[[#This Row],[Puntos30]]-0.5</f>
        <v>0</v>
      </c>
    </row>
    <row r="52" spans="1:33" x14ac:dyDescent="0.35">
      <c r="C52" s="4">
        <f>SUM(C2:C50)</f>
        <v>535</v>
      </c>
    </row>
  </sheetData>
  <phoneticPr fontId="25" type="noConversion"/>
  <dataValidations count="2">
    <dataValidation allowBlank="1" showInputMessage="1" showErrorMessage="1" promptTitle="A" sqref="B2:G2" xr:uid="{00000000-0002-0000-0100-000000000000}"/>
    <dataValidation allowBlank="1" showInputMessage="1" showErrorMessage="1" promptTitle="B" sqref="D5:G5" xr:uid="{00000000-0002-0000-0100-000001000000}"/>
  </dataValidations>
  <pageMargins left="0.7" right="0.7" top="0.75" bottom="0.75" header="0.3" footer="0.3"/>
  <tableParts count="17">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2326D-92C5-46DA-B040-F87D8B820082}">
  <dimension ref="A1:J7"/>
  <sheetViews>
    <sheetView tabSelected="1" topLeftCell="B1" zoomScale="85" zoomScaleNormal="85" workbookViewId="0">
      <selection activeCell="J3" sqref="J3"/>
    </sheetView>
  </sheetViews>
  <sheetFormatPr baseColWidth="10" defaultColWidth="9.1796875" defaultRowHeight="15" customHeight="1" x14ac:dyDescent="0.35"/>
  <cols>
    <col min="1" max="1" width="6.1796875" bestFit="1" customWidth="1"/>
    <col min="2" max="2" width="33.81640625" customWidth="1"/>
    <col min="3" max="3" width="18.81640625" customWidth="1"/>
    <col min="4" max="4" width="4.453125" customWidth="1"/>
    <col min="5" max="5" width="17.54296875" customWidth="1"/>
    <col min="6" max="7" width="22.1796875" customWidth="1"/>
    <col min="8" max="10" width="17.54296875" customWidth="1"/>
  </cols>
  <sheetData>
    <row r="1" spans="1:10" ht="15" customHeight="1" x14ac:dyDescent="0.35">
      <c r="E1" s="262" t="s">
        <v>229</v>
      </c>
      <c r="F1" s="263"/>
      <c r="G1" s="264"/>
      <c r="H1" s="260" t="s">
        <v>230</v>
      </c>
      <c r="I1" s="261"/>
      <c r="J1" s="261"/>
    </row>
    <row r="2" spans="1:10" ht="59.25" customHeight="1" x14ac:dyDescent="0.35">
      <c r="A2" s="51" t="s">
        <v>231</v>
      </c>
      <c r="B2" s="52" t="s">
        <v>567</v>
      </c>
      <c r="C2" s="53" t="s">
        <v>447</v>
      </c>
      <c r="E2" s="105" t="s">
        <v>568</v>
      </c>
      <c r="F2" s="91" t="s">
        <v>448</v>
      </c>
      <c r="G2" s="91" t="s">
        <v>449</v>
      </c>
      <c r="H2" s="106" t="s">
        <v>569</v>
      </c>
      <c r="I2" s="106" t="s">
        <v>448</v>
      </c>
      <c r="J2" s="95" t="s">
        <v>449</v>
      </c>
    </row>
    <row r="3" spans="1:10" ht="15.5" x14ac:dyDescent="0.35">
      <c r="A3" s="54"/>
      <c r="B3" s="55"/>
      <c r="C3" s="56"/>
      <c r="E3" s="107"/>
      <c r="F3" s="107"/>
      <c r="G3" s="107"/>
      <c r="H3" s="108"/>
      <c r="I3" s="108"/>
      <c r="J3" s="111"/>
    </row>
    <row r="4" spans="1:10" ht="15.5" x14ac:dyDescent="0.35">
      <c r="A4" s="54" t="s">
        <v>452</v>
      </c>
      <c r="B4" s="32" t="s">
        <v>437</v>
      </c>
      <c r="C4" s="33">
        <v>100</v>
      </c>
      <c r="E4" s="107">
        <v>100</v>
      </c>
      <c r="F4" s="107" t="s">
        <v>570</v>
      </c>
      <c r="G4" s="107"/>
      <c r="H4" s="108">
        <v>100</v>
      </c>
      <c r="I4" s="108" t="s">
        <v>571</v>
      </c>
      <c r="J4" s="111"/>
    </row>
    <row r="5" spans="1:10" ht="15.5" x14ac:dyDescent="0.35">
      <c r="A5" s="54" t="s">
        <v>456</v>
      </c>
      <c r="B5" s="32" t="s">
        <v>438</v>
      </c>
      <c r="C5" s="33">
        <v>10</v>
      </c>
      <c r="E5" s="107">
        <v>10</v>
      </c>
      <c r="F5" s="107" t="s">
        <v>572</v>
      </c>
      <c r="G5" s="107"/>
      <c r="H5" s="108">
        <v>10</v>
      </c>
      <c r="I5" s="108" t="s">
        <v>573</v>
      </c>
      <c r="J5" s="111"/>
    </row>
    <row r="6" spans="1:10" ht="15.5" x14ac:dyDescent="0.35">
      <c r="A6" s="54" t="s">
        <v>460</v>
      </c>
      <c r="B6" s="32" t="s">
        <v>439</v>
      </c>
      <c r="C6" s="33">
        <v>2</v>
      </c>
      <c r="E6" s="107">
        <v>2</v>
      </c>
      <c r="F6" s="107" t="s">
        <v>574</v>
      </c>
      <c r="G6" s="107"/>
      <c r="H6" s="108">
        <v>2</v>
      </c>
      <c r="I6" s="108" t="s">
        <v>575</v>
      </c>
      <c r="J6" s="111"/>
    </row>
    <row r="7" spans="1:10" ht="14.5" x14ac:dyDescent="0.35">
      <c r="B7" s="49" t="s">
        <v>576</v>
      </c>
      <c r="C7" s="40">
        <f>SUM(C3:C6)</f>
        <v>112</v>
      </c>
      <c r="E7" s="109"/>
      <c r="F7" s="109"/>
      <c r="G7" s="109"/>
      <c r="H7" s="110"/>
      <c r="I7" s="110"/>
      <c r="J7" s="111"/>
    </row>
  </sheetData>
  <sheetProtection algorithmName="SHA-512" hashValue="qIyLY4J42GLu49G2lhFQNuD/iIZ0XGhc7CHvQ4rGW9yBGHHUlAPsmeE5IrF5CGlDrbfbKYwPFwbfKSok21Loew==" saltValue="dxzNeUAuvtm0mU3gHsUkaw==" spinCount="100000" sheet="1" objects="1" scenarios="1"/>
  <mergeCells count="2">
    <mergeCell ref="H1:J1"/>
    <mergeCell ref="E1:G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18"/>
  <sheetViews>
    <sheetView zoomScale="85" zoomScaleNormal="85" workbookViewId="0">
      <selection activeCell="B5" sqref="B5"/>
    </sheetView>
  </sheetViews>
  <sheetFormatPr baseColWidth="10" defaultColWidth="11.453125" defaultRowHeight="15" customHeight="1" x14ac:dyDescent="0.35"/>
  <cols>
    <col min="2" max="2" width="68.453125" bestFit="1" customWidth="1"/>
    <col min="3" max="6" width="11.453125" customWidth="1"/>
    <col min="7" max="7" width="15.26953125" customWidth="1"/>
    <col min="8" max="8" width="11.453125" customWidth="1"/>
    <col min="14" max="14" width="20" customWidth="1"/>
    <col min="15" max="15" width="3.54296875" customWidth="1"/>
    <col min="16" max="16" width="11.54296875" customWidth="1"/>
  </cols>
  <sheetData>
    <row r="1" spans="1:58" ht="39" customHeight="1" x14ac:dyDescent="0.35">
      <c r="C1" s="244" t="s">
        <v>229</v>
      </c>
      <c r="D1" s="245"/>
      <c r="E1" s="245"/>
      <c r="F1" s="245"/>
      <c r="G1" s="246"/>
      <c r="H1" s="247" t="s">
        <v>230</v>
      </c>
      <c r="I1" s="248"/>
      <c r="J1" s="248"/>
      <c r="K1" s="248"/>
      <c r="L1" s="248"/>
      <c r="M1" s="248"/>
      <c r="N1" s="248"/>
    </row>
    <row r="2" spans="1:58" ht="87" x14ac:dyDescent="0.35">
      <c r="A2" s="243" t="s">
        <v>278</v>
      </c>
      <c r="B2" s="243"/>
      <c r="C2" s="90" t="s">
        <v>279</v>
      </c>
      <c r="D2" s="90" t="s">
        <v>235</v>
      </c>
      <c r="E2" s="90" t="s">
        <v>236</v>
      </c>
      <c r="F2" s="90" t="s">
        <v>233</v>
      </c>
      <c r="G2" s="89" t="s">
        <v>228</v>
      </c>
      <c r="H2" s="94" t="s">
        <v>237</v>
      </c>
      <c r="I2" s="94" t="s">
        <v>238</v>
      </c>
      <c r="J2" s="94" t="s">
        <v>239</v>
      </c>
      <c r="K2" s="94" t="s">
        <v>240</v>
      </c>
      <c r="L2" s="94" t="s">
        <v>236</v>
      </c>
      <c r="M2" s="94" t="s">
        <v>233</v>
      </c>
      <c r="N2" s="94" t="s">
        <v>228</v>
      </c>
      <c r="AL2" s="16" t="s">
        <v>280</v>
      </c>
      <c r="AM2" s="16" t="s">
        <v>281</v>
      </c>
      <c r="AN2" s="16" t="s">
        <v>282</v>
      </c>
      <c r="AO2" s="16" t="s">
        <v>283</v>
      </c>
      <c r="AP2" s="16" t="s">
        <v>284</v>
      </c>
      <c r="AQ2" s="16" t="s">
        <v>285</v>
      </c>
      <c r="AR2" s="16" t="s">
        <v>286</v>
      </c>
      <c r="AS2" s="16" t="s">
        <v>287</v>
      </c>
      <c r="AT2" s="16" t="s">
        <v>288</v>
      </c>
      <c r="AU2" s="16" t="s">
        <v>289</v>
      </c>
      <c r="AV2" s="16" t="s">
        <v>290</v>
      </c>
      <c r="AW2" s="16" t="s">
        <v>291</v>
      </c>
      <c r="AX2" s="16" t="s">
        <v>292</v>
      </c>
      <c r="AY2" s="16" t="s">
        <v>293</v>
      </c>
      <c r="AZ2" s="16" t="s">
        <v>294</v>
      </c>
      <c r="BA2" s="16" t="s">
        <v>295</v>
      </c>
      <c r="BB2" s="16" t="s">
        <v>296</v>
      </c>
      <c r="BC2" s="17" t="s">
        <v>297</v>
      </c>
      <c r="BD2" s="16" t="s">
        <v>298</v>
      </c>
      <c r="BE2" s="17" t="s">
        <v>299</v>
      </c>
      <c r="BF2" s="17" t="s">
        <v>300</v>
      </c>
    </row>
    <row r="3" spans="1:58" ht="14.5" x14ac:dyDescent="0.35">
      <c r="A3" s="15"/>
      <c r="B3" s="15" t="s">
        <v>301</v>
      </c>
      <c r="C3" s="93"/>
      <c r="D3" s="93"/>
      <c r="E3" s="93"/>
      <c r="F3" s="93"/>
      <c r="G3" s="93"/>
      <c r="H3" s="103"/>
      <c r="I3" s="103"/>
      <c r="J3" s="103"/>
      <c r="K3" s="103"/>
      <c r="L3" s="103"/>
      <c r="M3" s="103"/>
      <c r="N3" s="103"/>
      <c r="AL3" s="1"/>
      <c r="AM3" s="1"/>
      <c r="AN3" s="1"/>
      <c r="AO3" s="1"/>
      <c r="AP3" s="1"/>
      <c r="AQ3" s="1"/>
      <c r="AR3" s="1"/>
      <c r="AS3" s="1"/>
      <c r="AT3" s="1"/>
      <c r="AU3" s="1"/>
      <c r="AV3" s="1"/>
      <c r="AW3" s="1"/>
      <c r="AX3" s="1"/>
      <c r="AY3" s="1"/>
      <c r="AZ3" s="1"/>
      <c r="BA3" s="1"/>
      <c r="BB3" s="1"/>
      <c r="BC3" s="1"/>
      <c r="BD3" s="1"/>
      <c r="BE3" s="1"/>
      <c r="BF3" s="1"/>
    </row>
    <row r="4" spans="1:58" ht="156.5" customHeight="1" x14ac:dyDescent="0.35">
      <c r="A4" s="15"/>
      <c r="B4" s="83" t="s">
        <v>302</v>
      </c>
      <c r="C4" s="93"/>
      <c r="D4" s="93"/>
      <c r="E4" s="93"/>
      <c r="F4" s="93"/>
      <c r="G4" s="93" t="s">
        <v>325</v>
      </c>
      <c r="H4" s="103"/>
      <c r="I4" s="103"/>
      <c r="J4" s="103"/>
      <c r="K4" s="103"/>
      <c r="L4" s="103">
        <f>19892.58+23162.9153</f>
        <v>43055.495300000002</v>
      </c>
      <c r="M4" s="103"/>
      <c r="N4" s="103" t="s">
        <v>303</v>
      </c>
      <c r="AL4" s="1"/>
      <c r="AM4" s="1"/>
      <c r="AN4" s="1"/>
      <c r="AO4" s="1"/>
      <c r="AP4" s="1"/>
      <c r="AQ4" s="1"/>
      <c r="AR4" s="1"/>
      <c r="AS4" s="1"/>
      <c r="AT4" s="1"/>
      <c r="AU4" s="1"/>
      <c r="AV4" s="1"/>
      <c r="AW4" s="1"/>
      <c r="AX4" s="1"/>
      <c r="AY4" s="1"/>
      <c r="AZ4" s="1"/>
      <c r="BA4" s="1"/>
      <c r="BB4" s="1"/>
      <c r="BC4" s="1"/>
      <c r="BD4" s="1"/>
      <c r="BE4" s="1"/>
      <c r="BF4" s="1"/>
    </row>
    <row r="5" spans="1:58" ht="14.5" x14ac:dyDescent="0.35">
      <c r="A5" s="76" t="s">
        <v>304</v>
      </c>
      <c r="B5" s="76" t="s">
        <v>305</v>
      </c>
      <c r="C5" s="93"/>
      <c r="D5" s="93"/>
      <c r="E5" s="93"/>
      <c r="F5" s="93"/>
      <c r="G5" s="93"/>
      <c r="H5" s="103"/>
      <c r="I5" s="103"/>
      <c r="J5" s="103"/>
      <c r="K5" s="103"/>
      <c r="L5" s="103"/>
      <c r="M5" s="103"/>
      <c r="N5" s="103"/>
      <c r="AL5" s="1"/>
      <c r="AM5" s="1"/>
      <c r="AN5" s="1"/>
      <c r="AO5" s="1"/>
      <c r="AP5" s="1"/>
      <c r="AQ5" s="1"/>
      <c r="AR5" s="1"/>
      <c r="AS5" s="1"/>
      <c r="AT5" s="1"/>
      <c r="AU5" s="1"/>
      <c r="AV5" s="1"/>
      <c r="AW5" s="1"/>
      <c r="AX5" s="1"/>
      <c r="AY5" s="1"/>
      <c r="AZ5" s="1"/>
      <c r="BA5" s="1"/>
      <c r="BB5" s="1"/>
      <c r="BC5" s="1"/>
      <c r="BD5" s="1"/>
      <c r="BE5" s="1"/>
      <c r="BF5" s="1"/>
    </row>
    <row r="6" spans="1:58" ht="43.5" x14ac:dyDescent="0.35">
      <c r="A6" s="15"/>
      <c r="B6" s="75" t="s">
        <v>306</v>
      </c>
      <c r="C6" s="93"/>
      <c r="D6" s="93" t="s">
        <v>244</v>
      </c>
      <c r="E6" s="93"/>
      <c r="F6" s="93">
        <v>499</v>
      </c>
      <c r="G6" s="93"/>
      <c r="H6" s="103"/>
      <c r="I6" s="103" t="s">
        <v>244</v>
      </c>
      <c r="J6" s="103"/>
      <c r="K6" s="103"/>
      <c r="L6" s="103"/>
      <c r="M6" s="103"/>
      <c r="N6" s="103" t="s">
        <v>303</v>
      </c>
      <c r="AL6" s="1"/>
      <c r="AM6" s="1"/>
      <c r="AN6" s="1"/>
      <c r="AO6" s="1"/>
      <c r="AP6" s="1"/>
      <c r="AQ6" s="1"/>
      <c r="AR6" s="1"/>
      <c r="AS6" s="1"/>
      <c r="AT6" s="1"/>
      <c r="AU6" s="1"/>
      <c r="AV6" s="1"/>
      <c r="AW6" s="1"/>
      <c r="AX6" s="1"/>
      <c r="AY6" s="1"/>
      <c r="AZ6" s="1"/>
      <c r="BA6" s="1"/>
      <c r="BB6" s="1"/>
      <c r="BC6" s="1"/>
      <c r="BD6" s="1"/>
      <c r="BE6" s="1"/>
      <c r="BF6" s="1"/>
    </row>
    <row r="7" spans="1:58" ht="58" x14ac:dyDescent="0.35">
      <c r="A7" s="15"/>
      <c r="B7" s="83" t="s">
        <v>307</v>
      </c>
      <c r="C7" s="93"/>
      <c r="D7" s="93" t="s">
        <v>244</v>
      </c>
      <c r="E7" s="93"/>
      <c r="F7" s="93">
        <v>499</v>
      </c>
      <c r="G7" s="93"/>
      <c r="H7" s="103"/>
      <c r="I7" s="103" t="s">
        <v>244</v>
      </c>
      <c r="J7" s="103"/>
      <c r="K7" s="103"/>
      <c r="L7" s="103"/>
      <c r="M7" s="103"/>
      <c r="N7" s="103" t="s">
        <v>303</v>
      </c>
      <c r="AL7" s="1"/>
      <c r="AM7" s="1"/>
      <c r="AN7" s="1"/>
      <c r="AO7" s="1"/>
      <c r="AP7" s="1"/>
      <c r="AQ7" s="1"/>
      <c r="AR7" s="1"/>
      <c r="AS7" s="1"/>
      <c r="AT7" s="1"/>
      <c r="AU7" s="1"/>
      <c r="AV7" s="1"/>
      <c r="AW7" s="1"/>
      <c r="AX7" s="1"/>
      <c r="AY7" s="1"/>
      <c r="AZ7" s="1"/>
      <c r="BA7" s="1"/>
      <c r="BB7" s="1"/>
      <c r="BC7" s="1"/>
      <c r="BD7" s="1"/>
      <c r="BE7" s="1"/>
      <c r="BF7" s="1"/>
    </row>
    <row r="8" spans="1:58" ht="33.75" customHeight="1" x14ac:dyDescent="0.35">
      <c r="A8" s="15"/>
      <c r="B8" s="83" t="s">
        <v>309</v>
      </c>
      <c r="C8" s="93"/>
      <c r="D8" s="93" t="s">
        <v>244</v>
      </c>
      <c r="E8" s="93">
        <v>44613.81</v>
      </c>
      <c r="F8" s="93">
        <v>499</v>
      </c>
      <c r="G8" s="93"/>
      <c r="H8" s="103"/>
      <c r="I8" s="103" t="s">
        <v>244</v>
      </c>
      <c r="J8" s="103"/>
      <c r="K8" s="103"/>
      <c r="L8" s="103"/>
      <c r="M8" s="103"/>
      <c r="N8" s="103" t="s">
        <v>303</v>
      </c>
      <c r="AL8" s="1"/>
      <c r="AM8" s="1"/>
      <c r="AN8" s="1"/>
      <c r="AO8" s="1"/>
      <c r="AP8" s="1"/>
      <c r="AQ8" s="1"/>
      <c r="AR8" s="1"/>
      <c r="AS8" s="1"/>
      <c r="AT8" s="1"/>
      <c r="AU8" s="1"/>
      <c r="AV8" s="1"/>
      <c r="AW8" s="1"/>
      <c r="AX8" s="1"/>
      <c r="AY8" s="1"/>
      <c r="AZ8" s="1"/>
      <c r="BA8" s="1"/>
      <c r="BB8" s="1"/>
      <c r="BC8" s="1"/>
      <c r="BD8" s="1"/>
      <c r="BE8" s="1"/>
      <c r="BF8" s="1"/>
    </row>
    <row r="9" spans="1:58" ht="29" x14ac:dyDescent="0.35">
      <c r="A9" s="15"/>
      <c r="B9" s="77" t="s">
        <v>310</v>
      </c>
      <c r="C9" s="93"/>
      <c r="D9" s="93" t="s">
        <v>244</v>
      </c>
      <c r="E9" s="93"/>
      <c r="F9" s="93"/>
      <c r="G9" s="93"/>
      <c r="H9" s="103"/>
      <c r="I9" s="103" t="s">
        <v>244</v>
      </c>
      <c r="J9" s="103"/>
      <c r="K9" s="103"/>
      <c r="L9" s="103"/>
      <c r="M9" s="103"/>
      <c r="N9" s="103" t="s">
        <v>303</v>
      </c>
      <c r="AL9" s="1"/>
      <c r="AM9" s="1"/>
      <c r="AN9" s="1"/>
      <c r="AO9" s="1"/>
      <c r="AP9" s="1"/>
      <c r="AQ9" s="1"/>
      <c r="AR9" s="1"/>
      <c r="AS9" s="1"/>
      <c r="AT9" s="1"/>
      <c r="AU9" s="1"/>
      <c r="AV9" s="1"/>
      <c r="AW9" s="1"/>
      <c r="AX9" s="1"/>
      <c r="AY9" s="1"/>
      <c r="AZ9" s="1"/>
      <c r="BA9" s="1"/>
      <c r="BB9" s="1"/>
      <c r="BC9" s="1"/>
      <c r="BD9" s="1"/>
      <c r="BE9" s="1"/>
      <c r="BF9" s="1"/>
    </row>
    <row r="10" spans="1:58" ht="14.5" x14ac:dyDescent="0.35">
      <c r="A10" s="76" t="s">
        <v>311</v>
      </c>
      <c r="B10" s="76" t="s">
        <v>312</v>
      </c>
      <c r="C10" s="93"/>
      <c r="D10" s="93"/>
      <c r="E10" s="93"/>
      <c r="F10" s="93"/>
      <c r="G10" s="93"/>
      <c r="H10" s="103"/>
      <c r="I10" s="103"/>
      <c r="J10" s="103"/>
      <c r="K10" s="103"/>
      <c r="L10" s="103"/>
      <c r="M10" s="103"/>
      <c r="N10" s="103"/>
      <c r="AL10" s="1"/>
      <c r="AM10" s="1"/>
      <c r="AN10" s="1"/>
      <c r="AO10" s="1"/>
      <c r="AP10" s="1"/>
      <c r="AQ10" s="1"/>
      <c r="AR10" s="1"/>
      <c r="AS10" s="1"/>
      <c r="AT10" s="1"/>
      <c r="AU10" s="1"/>
      <c r="AV10" s="1"/>
      <c r="AW10" s="1"/>
      <c r="AX10" s="1"/>
      <c r="AY10" s="1"/>
      <c r="AZ10" s="1"/>
      <c r="BA10" s="1"/>
      <c r="BB10" s="1"/>
      <c r="BC10" s="1"/>
      <c r="BD10" s="1"/>
      <c r="BE10" s="1"/>
      <c r="BF10" s="1"/>
    </row>
    <row r="11" spans="1:58" ht="58" x14ac:dyDescent="0.35">
      <c r="A11" s="15"/>
      <c r="B11" s="75" t="s">
        <v>313</v>
      </c>
      <c r="C11" s="93"/>
      <c r="D11" s="93" t="s">
        <v>244</v>
      </c>
      <c r="E11" s="93"/>
      <c r="F11" s="93" t="s">
        <v>314</v>
      </c>
      <c r="G11" s="93"/>
      <c r="H11" s="103"/>
      <c r="I11" s="103" t="s">
        <v>244</v>
      </c>
      <c r="J11" s="103" t="s">
        <v>244</v>
      </c>
      <c r="K11" s="103"/>
      <c r="L11" s="103"/>
      <c r="M11" s="103"/>
      <c r="N11" s="103" t="s">
        <v>303</v>
      </c>
      <c r="AL11" s="1"/>
      <c r="AM11" s="1"/>
      <c r="AN11" s="1"/>
      <c r="AO11" s="1"/>
      <c r="AP11" s="1"/>
      <c r="AQ11" s="1"/>
      <c r="AR11" s="1"/>
      <c r="AS11" s="1"/>
      <c r="AT11" s="1"/>
      <c r="AU11" s="1"/>
      <c r="AV11" s="1"/>
      <c r="AW11" s="1"/>
      <c r="AX11" s="1"/>
      <c r="AY11" s="1"/>
      <c r="AZ11" s="1"/>
      <c r="BA11" s="1"/>
      <c r="BB11" s="1"/>
      <c r="BC11" s="1"/>
      <c r="BD11" s="1"/>
      <c r="BE11" s="1"/>
      <c r="BF11" s="1"/>
    </row>
    <row r="12" spans="1:58" ht="14.5" x14ac:dyDescent="0.35">
      <c r="A12" s="15"/>
      <c r="B12" s="15" t="s">
        <v>315</v>
      </c>
      <c r="C12" s="93"/>
      <c r="D12" s="93" t="s">
        <v>244</v>
      </c>
      <c r="E12" s="93"/>
      <c r="F12" s="93" t="s">
        <v>314</v>
      </c>
      <c r="G12" s="93"/>
      <c r="H12" s="103"/>
      <c r="I12" s="103" t="s">
        <v>244</v>
      </c>
      <c r="J12" s="103" t="s">
        <v>244</v>
      </c>
      <c r="K12" s="103"/>
      <c r="L12" s="103"/>
      <c r="M12" s="103"/>
      <c r="N12" s="103" t="s">
        <v>303</v>
      </c>
      <c r="AL12" s="1"/>
      <c r="AM12" s="1"/>
      <c r="AN12" s="1"/>
      <c r="AO12" s="1"/>
      <c r="AP12" s="1"/>
      <c r="AQ12" s="1"/>
      <c r="AR12" s="1"/>
      <c r="AS12" s="1"/>
      <c r="AT12" s="1"/>
      <c r="AU12" s="1"/>
      <c r="AV12" s="1"/>
      <c r="AW12" s="1"/>
      <c r="AX12" s="1"/>
      <c r="AY12" s="1"/>
      <c r="AZ12" s="1"/>
      <c r="BA12" s="1"/>
      <c r="BB12" s="1"/>
      <c r="BC12" s="1"/>
      <c r="BD12" s="1"/>
      <c r="BE12" s="1"/>
      <c r="BF12" s="1"/>
    </row>
    <row r="13" spans="1:58" ht="29" x14ac:dyDescent="0.35">
      <c r="A13" s="15"/>
      <c r="B13" s="75" t="s">
        <v>316</v>
      </c>
      <c r="C13" s="93"/>
      <c r="D13" s="93" t="s">
        <v>244</v>
      </c>
      <c r="E13" s="93"/>
      <c r="F13" s="93" t="s">
        <v>314</v>
      </c>
      <c r="G13" s="93"/>
      <c r="H13" s="103"/>
      <c r="I13" s="103" t="s">
        <v>244</v>
      </c>
      <c r="J13" s="103" t="s">
        <v>244</v>
      </c>
      <c r="K13" s="103"/>
      <c r="L13" s="103"/>
      <c r="M13" s="103"/>
      <c r="N13" s="103" t="s">
        <v>303</v>
      </c>
      <c r="AL13" s="1"/>
      <c r="AM13" s="1"/>
      <c r="AN13" s="1"/>
      <c r="AO13" s="1"/>
      <c r="AP13" s="1"/>
      <c r="AQ13" s="1"/>
      <c r="AR13" s="1"/>
      <c r="AS13" s="1"/>
      <c r="AT13" s="1"/>
      <c r="AU13" s="1"/>
      <c r="AV13" s="1"/>
      <c r="AW13" s="1"/>
      <c r="AX13" s="1"/>
      <c r="AY13" s="1"/>
      <c r="AZ13" s="1"/>
      <c r="BA13" s="1"/>
      <c r="BB13" s="1"/>
      <c r="BC13" s="1"/>
      <c r="BD13" s="1"/>
      <c r="BE13" s="1"/>
      <c r="BF13" s="1"/>
    </row>
    <row r="14" spans="1:58" ht="14.5" x14ac:dyDescent="0.35">
      <c r="A14" s="15"/>
      <c r="B14" s="18" t="s">
        <v>317</v>
      </c>
      <c r="C14" s="93"/>
      <c r="D14" s="93" t="s">
        <v>244</v>
      </c>
      <c r="E14" s="93">
        <v>1462691.6</v>
      </c>
      <c r="F14" s="93" t="s">
        <v>314</v>
      </c>
      <c r="G14" s="93"/>
      <c r="H14" s="103"/>
      <c r="I14" s="103" t="s">
        <v>244</v>
      </c>
      <c r="J14" s="103" t="s">
        <v>244</v>
      </c>
      <c r="K14" s="103"/>
      <c r="L14" s="103">
        <f>48130.34*0.7098</f>
        <v>34162.915331999997</v>
      </c>
      <c r="M14" s="103"/>
      <c r="N14" s="103" t="s">
        <v>303</v>
      </c>
      <c r="AL14" s="1"/>
      <c r="AM14" s="1"/>
      <c r="AN14" s="1"/>
      <c r="AO14" s="1"/>
      <c r="AP14" s="1"/>
      <c r="AQ14" s="1"/>
      <c r="AR14" s="1"/>
      <c r="AS14" s="1"/>
      <c r="AT14" s="1"/>
      <c r="AU14" s="1"/>
      <c r="AV14" s="1"/>
      <c r="AW14" s="1"/>
      <c r="AX14" s="1"/>
      <c r="AY14" s="1"/>
      <c r="AZ14" s="1"/>
      <c r="BA14" s="1"/>
      <c r="BB14" s="1"/>
      <c r="BC14" s="1"/>
      <c r="BD14" s="1"/>
      <c r="BE14" s="1"/>
      <c r="BF14" s="1"/>
    </row>
    <row r="15" spans="1:58" ht="34.75" customHeight="1" x14ac:dyDescent="0.35">
      <c r="A15" s="15"/>
      <c r="B15" s="75" t="s">
        <v>318</v>
      </c>
      <c r="C15" s="93"/>
      <c r="D15" s="93" t="s">
        <v>244</v>
      </c>
      <c r="E15" s="93"/>
      <c r="F15" s="93"/>
      <c r="G15" s="93"/>
      <c r="H15" s="103"/>
      <c r="I15" s="103"/>
      <c r="J15" s="103"/>
      <c r="K15" s="103"/>
      <c r="L15" s="103"/>
      <c r="M15" s="103"/>
      <c r="N15" s="103"/>
      <c r="AL15" s="1"/>
      <c r="AM15" s="1"/>
      <c r="AN15" s="1"/>
      <c r="AO15" s="1"/>
      <c r="AP15" s="1"/>
      <c r="AQ15" s="1"/>
      <c r="AR15" s="1"/>
      <c r="AS15" s="1"/>
      <c r="AT15" s="1"/>
      <c r="AU15" s="1"/>
      <c r="AV15" s="1"/>
      <c r="AW15" s="1"/>
      <c r="AX15" s="1"/>
      <c r="AY15" s="1"/>
      <c r="AZ15" s="1"/>
      <c r="BA15" s="1"/>
      <c r="BB15" s="1"/>
      <c r="BC15" s="1"/>
      <c r="BD15" s="1"/>
      <c r="BE15" s="1"/>
      <c r="BF15" s="1"/>
    </row>
    <row r="16" spans="1:58" ht="14.5" x14ac:dyDescent="0.35">
      <c r="A16" s="76" t="s">
        <v>319</v>
      </c>
      <c r="B16" s="76" t="s">
        <v>320</v>
      </c>
      <c r="C16" s="93"/>
      <c r="D16" s="93"/>
      <c r="E16" s="93"/>
      <c r="F16" s="93"/>
      <c r="G16" s="93"/>
      <c r="H16" s="103"/>
      <c r="I16" s="103"/>
      <c r="J16" s="103"/>
      <c r="K16" s="103"/>
      <c r="L16" s="103"/>
      <c r="M16" s="103"/>
      <c r="N16" s="103"/>
      <c r="AL16" s="1"/>
      <c r="AM16" s="1"/>
      <c r="AN16" s="1"/>
      <c r="AO16" s="1"/>
      <c r="AP16" s="1"/>
      <c r="AQ16" s="1"/>
      <c r="AR16" s="1"/>
      <c r="AS16" s="1"/>
      <c r="AT16" s="1"/>
      <c r="AU16" s="1"/>
      <c r="AV16" s="1"/>
      <c r="AW16" s="1"/>
      <c r="AX16" s="1"/>
      <c r="AY16" s="1"/>
      <c r="AZ16" s="1"/>
      <c r="BA16" s="1"/>
      <c r="BB16" s="1"/>
      <c r="BC16" s="1"/>
      <c r="BD16" s="1"/>
      <c r="BE16" s="1"/>
      <c r="BF16" s="1"/>
    </row>
    <row r="17" spans="1:58" ht="43.5" x14ac:dyDescent="0.35">
      <c r="A17" s="15"/>
      <c r="B17" s="77" t="s">
        <v>321</v>
      </c>
      <c r="C17" s="93"/>
      <c r="D17" s="93" t="s">
        <v>244</v>
      </c>
      <c r="E17" s="93"/>
      <c r="F17" s="93" t="s">
        <v>314</v>
      </c>
      <c r="G17" s="93"/>
      <c r="H17" s="103"/>
      <c r="I17" s="103"/>
      <c r="J17" s="103"/>
      <c r="K17" s="103" t="s">
        <v>244</v>
      </c>
      <c r="L17" s="103"/>
      <c r="M17" s="103"/>
      <c r="N17" s="103" t="s">
        <v>303</v>
      </c>
      <c r="AL17" s="1"/>
      <c r="AM17" s="1"/>
      <c r="AN17" s="1"/>
      <c r="AO17" s="1"/>
      <c r="AP17" s="1"/>
      <c r="AQ17" s="1"/>
      <c r="AR17" s="1"/>
      <c r="AS17" s="1"/>
      <c r="AT17" s="1"/>
      <c r="AU17" s="1"/>
      <c r="AV17" s="1"/>
      <c r="AW17" s="1"/>
      <c r="AX17" s="1"/>
      <c r="AY17" s="1"/>
      <c r="AZ17" s="1"/>
      <c r="BA17" s="1"/>
      <c r="BB17" s="1"/>
      <c r="BC17" s="1"/>
      <c r="BD17" s="1"/>
      <c r="BE17" s="1"/>
      <c r="BF17" s="1"/>
    </row>
    <row r="18" spans="1:58" ht="29" x14ac:dyDescent="0.35">
      <c r="A18" s="15"/>
      <c r="B18" s="77" t="s">
        <v>322</v>
      </c>
      <c r="C18" s="93"/>
      <c r="D18" s="93" t="s">
        <v>244</v>
      </c>
      <c r="E18" s="93"/>
      <c r="F18" s="93" t="s">
        <v>314</v>
      </c>
      <c r="G18" s="93" t="s">
        <v>323</v>
      </c>
      <c r="H18" s="103"/>
      <c r="I18" s="103"/>
      <c r="J18" s="103"/>
      <c r="K18" s="103" t="s">
        <v>244</v>
      </c>
      <c r="L18" s="103">
        <v>20035</v>
      </c>
      <c r="M18" s="103"/>
      <c r="N18" s="103" t="s">
        <v>324</v>
      </c>
      <c r="AL18" s="1"/>
      <c r="AM18" s="1"/>
      <c r="AN18" s="1"/>
      <c r="AO18" s="1"/>
      <c r="AP18" s="1"/>
      <c r="AQ18" s="1"/>
      <c r="AR18" s="1"/>
      <c r="AS18" s="1"/>
      <c r="AT18" s="1"/>
      <c r="AU18" s="1"/>
      <c r="AV18" s="1"/>
      <c r="AW18" s="1"/>
      <c r="AX18" s="1"/>
      <c r="AY18" s="1"/>
      <c r="AZ18" s="1"/>
      <c r="BA18" s="1"/>
      <c r="BB18" s="1"/>
      <c r="BC18" s="1"/>
      <c r="BD18" s="1"/>
      <c r="BE18" s="1"/>
      <c r="BF18" s="1"/>
    </row>
  </sheetData>
  <sheetProtection algorithmName="SHA-512" hashValue="3C+j3n9cbVhO8x7L3UXax7NpC3URkdWa6UQhS1l8v4BoFqAnEk6xUvZizGfOG2CXv8vl6765fMG0g+m5KHvXjA==" saltValue="+n6v0mLlNYVS2kwovb2U5g==" spinCount="100000" sheet="1" objects="1" scenarios="1"/>
  <mergeCells count="3">
    <mergeCell ref="A2:B2"/>
    <mergeCell ref="C1:G1"/>
    <mergeCell ref="H1:N1"/>
  </mergeCells>
  <phoneticPr fontId="25" type="noConversion"/>
  <conditionalFormatting sqref="AL2:AN2">
    <cfRule type="expression" dxfId="1" priority="26">
      <formula>AND(AP2&gt;#REF!,AQ2&gt;#REF!,AR2&lt;$O$42,AS2&gt;#REF!,#REF!&gt;#REF!,#REF!&gt;#REF!)</formula>
    </cfRule>
  </conditionalFormatting>
  <conditionalFormatting sqref="AL2:BF2">
    <cfRule type="expression" dxfId="0" priority="27">
      <formula>AND(AP2&gt;#REF!,AQ2&gt;#REF!,AR2&lt;$O$42,AS2&gt;#REF!)</formula>
    </cfRule>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580FD-D97F-46C4-A418-9088FDA5E569}">
  <dimension ref="A1:O41"/>
  <sheetViews>
    <sheetView zoomScale="85" zoomScaleNormal="85" workbookViewId="0">
      <selection activeCell="K2" sqref="K2"/>
    </sheetView>
  </sheetViews>
  <sheetFormatPr baseColWidth="10" defaultColWidth="11.453125" defaultRowHeight="15" customHeight="1" x14ac:dyDescent="0.35"/>
  <cols>
    <col min="1" max="1" width="10.453125" customWidth="1"/>
    <col min="2" max="2" width="72.81640625" customWidth="1"/>
    <col min="3" max="3" width="13.453125" customWidth="1"/>
    <col min="4" max="10" width="11.453125" customWidth="1"/>
    <col min="15" max="15" width="21.81640625" customWidth="1"/>
  </cols>
  <sheetData>
    <row r="1" spans="1:15" ht="15" customHeight="1" x14ac:dyDescent="0.35">
      <c r="E1" s="249" t="s">
        <v>229</v>
      </c>
      <c r="F1" s="249"/>
      <c r="G1" s="249"/>
      <c r="H1" s="249"/>
      <c r="I1" s="97" t="s">
        <v>228</v>
      </c>
      <c r="J1" s="250" t="s">
        <v>230</v>
      </c>
      <c r="K1" s="250"/>
      <c r="L1" s="250"/>
      <c r="M1" s="250"/>
      <c r="N1" s="251"/>
      <c r="O1" s="95" t="s">
        <v>228</v>
      </c>
    </row>
    <row r="2" spans="1:15" ht="87" x14ac:dyDescent="0.35">
      <c r="A2" s="51" t="s">
        <v>231</v>
      </c>
      <c r="B2" s="52" t="s">
        <v>232</v>
      </c>
      <c r="C2" s="53"/>
      <c r="E2" s="91" t="s">
        <v>234</v>
      </c>
      <c r="F2" s="91" t="s">
        <v>235</v>
      </c>
      <c r="G2" s="91" t="s">
        <v>236</v>
      </c>
      <c r="H2" s="91" t="s">
        <v>233</v>
      </c>
      <c r="I2" s="97"/>
      <c r="J2" s="95" t="s">
        <v>237</v>
      </c>
      <c r="K2" s="95" t="s">
        <v>238</v>
      </c>
      <c r="L2" s="95" t="s">
        <v>239</v>
      </c>
      <c r="M2" s="95" t="s">
        <v>240</v>
      </c>
      <c r="N2" s="101" t="s">
        <v>233</v>
      </c>
      <c r="O2" s="95"/>
    </row>
    <row r="3" spans="1:15" ht="15.5" x14ac:dyDescent="0.35">
      <c r="A3" s="79" t="s">
        <v>241</v>
      </c>
      <c r="B3" s="80" t="s">
        <v>242</v>
      </c>
      <c r="C3" s="56"/>
      <c r="E3" s="92"/>
      <c r="F3" s="92"/>
      <c r="G3" s="92"/>
      <c r="H3" s="92"/>
      <c r="I3" s="98"/>
      <c r="J3" s="96"/>
      <c r="K3" s="96"/>
      <c r="L3" s="96"/>
      <c r="M3" s="96"/>
      <c r="N3" s="102"/>
      <c r="O3" s="96"/>
    </row>
    <row r="4" spans="1:15" ht="181.5" customHeight="1" x14ac:dyDescent="0.35">
      <c r="A4" s="79"/>
      <c r="B4" s="55" t="s">
        <v>243</v>
      </c>
      <c r="C4" s="56"/>
      <c r="E4" s="187"/>
      <c r="F4" s="107" t="s">
        <v>244</v>
      </c>
      <c r="G4" s="107"/>
      <c r="H4" s="107" t="s">
        <v>245</v>
      </c>
      <c r="I4" s="188"/>
      <c r="J4" s="108"/>
      <c r="K4" s="108" t="s">
        <v>244</v>
      </c>
      <c r="L4" s="108" t="s">
        <v>244</v>
      </c>
      <c r="M4" s="108"/>
      <c r="N4" s="189" t="s">
        <v>246</v>
      </c>
      <c r="O4" s="108"/>
    </row>
    <row r="5" spans="1:15" ht="15.5" x14ac:dyDescent="0.35">
      <c r="A5" s="79"/>
      <c r="B5" s="55" t="s">
        <v>247</v>
      </c>
      <c r="C5" s="56"/>
      <c r="E5" s="107" t="s">
        <v>244</v>
      </c>
      <c r="F5" s="107"/>
      <c r="G5" s="107"/>
      <c r="H5" s="107" t="s">
        <v>245</v>
      </c>
      <c r="I5" s="188"/>
      <c r="J5" s="108"/>
      <c r="K5" s="108"/>
      <c r="L5" s="108"/>
      <c r="M5" s="108"/>
      <c r="N5" s="189" t="s">
        <v>246</v>
      </c>
      <c r="O5" s="108"/>
    </row>
    <row r="6" spans="1:15" ht="15.5" x14ac:dyDescent="0.35">
      <c r="A6" s="79"/>
      <c r="B6" s="55" t="s">
        <v>248</v>
      </c>
      <c r="C6" s="56"/>
      <c r="E6" s="107" t="s">
        <v>244</v>
      </c>
      <c r="F6" s="107"/>
      <c r="G6" s="107"/>
      <c r="H6" s="107" t="s">
        <v>245</v>
      </c>
      <c r="I6" s="188"/>
      <c r="J6" s="108"/>
      <c r="K6" s="108" t="s">
        <v>244</v>
      </c>
      <c r="L6" s="108" t="s">
        <v>244</v>
      </c>
      <c r="M6" s="108"/>
      <c r="N6" s="189" t="s">
        <v>246</v>
      </c>
      <c r="O6" s="108"/>
    </row>
    <row r="7" spans="1:15" ht="15.5" x14ac:dyDescent="0.35">
      <c r="A7" s="79"/>
      <c r="B7" s="55" t="s">
        <v>249</v>
      </c>
      <c r="C7" s="56"/>
      <c r="E7" s="107" t="s">
        <v>244</v>
      </c>
      <c r="F7" s="107"/>
      <c r="G7" s="107"/>
      <c r="H7" s="107" t="s">
        <v>245</v>
      </c>
      <c r="I7" s="188"/>
      <c r="J7" s="108"/>
      <c r="K7" s="108" t="s">
        <v>244</v>
      </c>
      <c r="L7" s="108" t="s">
        <v>244</v>
      </c>
      <c r="M7" s="108"/>
      <c r="N7" s="189" t="s">
        <v>246</v>
      </c>
      <c r="O7" s="108"/>
    </row>
    <row r="8" spans="1:15" ht="15.5" x14ac:dyDescent="0.35">
      <c r="A8" s="79"/>
      <c r="B8" s="55" t="s">
        <v>250</v>
      </c>
      <c r="C8" s="56"/>
      <c r="E8" s="107" t="s">
        <v>244</v>
      </c>
      <c r="F8" s="107"/>
      <c r="G8" s="107"/>
      <c r="H8" s="107" t="s">
        <v>245</v>
      </c>
      <c r="I8" s="188"/>
      <c r="J8" s="108"/>
      <c r="K8" s="108" t="s">
        <v>244</v>
      </c>
      <c r="L8" s="108" t="s">
        <v>244</v>
      </c>
      <c r="M8" s="108"/>
      <c r="N8" s="189" t="s">
        <v>246</v>
      </c>
      <c r="O8" s="108"/>
    </row>
    <row r="9" spans="1:15" ht="15.5" x14ac:dyDescent="0.35">
      <c r="A9" s="79"/>
      <c r="B9" s="55"/>
      <c r="C9" s="56"/>
      <c r="E9" s="107"/>
      <c r="F9" s="107"/>
      <c r="G9" s="107"/>
      <c r="H9" s="107" t="s">
        <v>245</v>
      </c>
      <c r="I9" s="188"/>
      <c r="J9" s="108"/>
      <c r="K9" s="108"/>
      <c r="L9" s="108"/>
      <c r="M9" s="108"/>
      <c r="N9" s="189" t="s">
        <v>246</v>
      </c>
      <c r="O9" s="108"/>
    </row>
    <row r="10" spans="1:15" ht="15.5" x14ac:dyDescent="0.35">
      <c r="A10" s="54"/>
      <c r="B10" s="55" t="s">
        <v>251</v>
      </c>
      <c r="C10" s="56"/>
      <c r="E10" s="107" t="s">
        <v>244</v>
      </c>
      <c r="F10" s="107"/>
      <c r="G10" s="107"/>
      <c r="H10" s="107" t="s">
        <v>245</v>
      </c>
      <c r="I10" s="188"/>
      <c r="J10" s="108"/>
      <c r="K10" s="108" t="s">
        <v>244</v>
      </c>
      <c r="L10" s="108" t="s">
        <v>244</v>
      </c>
      <c r="M10" s="108"/>
      <c r="N10" s="189" t="s">
        <v>246</v>
      </c>
      <c r="O10" s="108"/>
    </row>
    <row r="11" spans="1:15" ht="29" x14ac:dyDescent="0.35">
      <c r="A11" s="54"/>
      <c r="B11" s="55" t="s">
        <v>252</v>
      </c>
      <c r="C11" s="56"/>
      <c r="E11" s="107" t="s">
        <v>244</v>
      </c>
      <c r="F11" s="107"/>
      <c r="G11" s="107"/>
      <c r="H11" s="107" t="s">
        <v>245</v>
      </c>
      <c r="I11" s="188"/>
      <c r="J11" s="108"/>
      <c r="K11" s="108" t="s">
        <v>244</v>
      </c>
      <c r="L11" s="108" t="s">
        <v>244</v>
      </c>
      <c r="M11" s="108"/>
      <c r="N11" s="189" t="s">
        <v>246</v>
      </c>
      <c r="O11" s="108"/>
    </row>
    <row r="12" spans="1:15" ht="15.5" x14ac:dyDescent="0.35">
      <c r="A12" s="54"/>
      <c r="B12" s="55" t="s">
        <v>253</v>
      </c>
      <c r="C12" s="56"/>
      <c r="E12" s="107" t="s">
        <v>244</v>
      </c>
      <c r="F12" s="107"/>
      <c r="G12" s="107"/>
      <c r="H12" s="107" t="s">
        <v>245</v>
      </c>
      <c r="I12" s="188"/>
      <c r="J12" s="108"/>
      <c r="K12" s="108"/>
      <c r="L12" s="108"/>
      <c r="M12" s="108"/>
      <c r="N12" s="189" t="s">
        <v>246</v>
      </c>
      <c r="O12" s="108"/>
    </row>
    <row r="13" spans="1:15" ht="15.5" x14ac:dyDescent="0.35">
      <c r="A13" s="54"/>
      <c r="B13" s="55" t="s">
        <v>254</v>
      </c>
      <c r="C13" s="56"/>
      <c r="E13" s="107" t="s">
        <v>244</v>
      </c>
      <c r="F13" s="107"/>
      <c r="G13" s="107"/>
      <c r="H13" s="107" t="s">
        <v>245</v>
      </c>
      <c r="I13" s="188"/>
      <c r="J13" s="108"/>
      <c r="K13" s="108" t="s">
        <v>244</v>
      </c>
      <c r="L13" s="108" t="s">
        <v>244</v>
      </c>
      <c r="M13" s="108"/>
      <c r="N13" s="189" t="s">
        <v>246</v>
      </c>
      <c r="O13" s="108"/>
    </row>
    <row r="14" spans="1:15" ht="15.5" x14ac:dyDescent="0.35">
      <c r="A14" s="54"/>
      <c r="B14" s="55" t="s">
        <v>255</v>
      </c>
      <c r="C14" s="56"/>
      <c r="E14" s="107" t="s">
        <v>244</v>
      </c>
      <c r="F14" s="107"/>
      <c r="G14" s="107"/>
      <c r="H14" s="107" t="s">
        <v>245</v>
      </c>
      <c r="I14" s="188"/>
      <c r="J14" s="108"/>
      <c r="K14" s="108" t="s">
        <v>244</v>
      </c>
      <c r="L14" s="108" t="s">
        <v>244</v>
      </c>
      <c r="M14" s="108"/>
      <c r="N14" s="189" t="s">
        <v>246</v>
      </c>
      <c r="O14" s="108"/>
    </row>
    <row r="15" spans="1:15" ht="15.5" x14ac:dyDescent="0.35">
      <c r="A15" s="54"/>
      <c r="B15" s="55" t="s">
        <v>256</v>
      </c>
      <c r="C15" s="56"/>
      <c r="E15" s="107" t="s">
        <v>244</v>
      </c>
      <c r="F15" s="107"/>
      <c r="G15" s="107"/>
      <c r="H15" s="107" t="s">
        <v>245</v>
      </c>
      <c r="I15" s="188"/>
      <c r="J15" s="108"/>
      <c r="K15" s="108" t="s">
        <v>244</v>
      </c>
      <c r="L15" s="108" t="s">
        <v>244</v>
      </c>
      <c r="M15" s="108"/>
      <c r="N15" s="189" t="s">
        <v>246</v>
      </c>
      <c r="O15" s="108"/>
    </row>
    <row r="16" spans="1:15" ht="15.5" x14ac:dyDescent="0.35">
      <c r="A16" s="54"/>
      <c r="B16" s="55" t="s">
        <v>257</v>
      </c>
      <c r="C16" s="56"/>
      <c r="E16" s="107" t="s">
        <v>244</v>
      </c>
      <c r="F16" s="107"/>
      <c r="G16" s="107"/>
      <c r="H16" s="107" t="s">
        <v>245</v>
      </c>
      <c r="I16" s="188"/>
      <c r="J16" s="108"/>
      <c r="K16" s="108" t="s">
        <v>244</v>
      </c>
      <c r="L16" s="108" t="s">
        <v>244</v>
      </c>
      <c r="M16" s="108"/>
      <c r="N16" s="189" t="s">
        <v>246</v>
      </c>
      <c r="O16" s="108"/>
    </row>
    <row r="17" spans="1:15" ht="39" customHeight="1" x14ac:dyDescent="0.35">
      <c r="A17" s="54"/>
      <c r="B17" s="55" t="s">
        <v>258</v>
      </c>
      <c r="C17" s="56"/>
      <c r="E17" s="107" t="s">
        <v>244</v>
      </c>
      <c r="F17" s="107"/>
      <c r="G17" s="107"/>
      <c r="H17" s="107" t="s">
        <v>245</v>
      </c>
      <c r="I17" s="188"/>
      <c r="J17" s="108"/>
      <c r="K17" s="108" t="s">
        <v>244</v>
      </c>
      <c r="L17" s="108" t="s">
        <v>244</v>
      </c>
      <c r="M17" s="108"/>
      <c r="N17" s="189" t="s">
        <v>246</v>
      </c>
      <c r="O17" s="108"/>
    </row>
    <row r="18" spans="1:15" ht="15.5" x14ac:dyDescent="0.35">
      <c r="A18" s="54"/>
      <c r="B18" s="55" t="s">
        <v>259</v>
      </c>
      <c r="C18" s="56"/>
      <c r="E18" s="107" t="s">
        <v>244</v>
      </c>
      <c r="F18" s="107"/>
      <c r="G18" s="107"/>
      <c r="H18" s="107" t="s">
        <v>245</v>
      </c>
      <c r="I18" s="188"/>
      <c r="J18" s="108"/>
      <c r="K18" s="108" t="s">
        <v>244</v>
      </c>
      <c r="L18" s="108" t="s">
        <v>244</v>
      </c>
      <c r="M18" s="108"/>
      <c r="N18" s="189" t="s">
        <v>246</v>
      </c>
      <c r="O18" s="108"/>
    </row>
    <row r="19" spans="1:15" ht="29" x14ac:dyDescent="0.35">
      <c r="A19" s="54"/>
      <c r="B19" s="55" t="s">
        <v>260</v>
      </c>
      <c r="C19" s="56"/>
      <c r="E19" s="107" t="s">
        <v>244</v>
      </c>
      <c r="F19" s="107"/>
      <c r="G19" s="107"/>
      <c r="H19" s="107" t="s">
        <v>245</v>
      </c>
      <c r="I19" s="188"/>
      <c r="J19" s="108"/>
      <c r="K19" s="108" t="s">
        <v>244</v>
      </c>
      <c r="L19" s="108" t="s">
        <v>244</v>
      </c>
      <c r="M19" s="108"/>
      <c r="N19" s="189" t="s">
        <v>246</v>
      </c>
      <c r="O19" s="108"/>
    </row>
    <row r="20" spans="1:15" ht="43.5" x14ac:dyDescent="0.35">
      <c r="A20" s="54"/>
      <c r="B20" s="55" t="s">
        <v>261</v>
      </c>
      <c r="C20" s="56"/>
      <c r="E20" s="107" t="s">
        <v>244</v>
      </c>
      <c r="F20" s="107"/>
      <c r="G20" s="107"/>
      <c r="H20" s="107" t="s">
        <v>245</v>
      </c>
      <c r="I20" s="188"/>
      <c r="J20" s="108"/>
      <c r="K20" s="108" t="s">
        <v>244</v>
      </c>
      <c r="L20" s="108" t="s">
        <v>244</v>
      </c>
      <c r="M20" s="108"/>
      <c r="N20" s="189" t="s">
        <v>246</v>
      </c>
      <c r="O20" s="108"/>
    </row>
    <row r="21" spans="1:15" ht="29" x14ac:dyDescent="0.35">
      <c r="A21" s="54"/>
      <c r="B21" s="55" t="s">
        <v>262</v>
      </c>
      <c r="C21" s="56"/>
      <c r="E21" s="107" t="s">
        <v>244</v>
      </c>
      <c r="F21" s="107"/>
      <c r="G21" s="107"/>
      <c r="H21" s="107" t="s">
        <v>245</v>
      </c>
      <c r="I21" s="188"/>
      <c r="J21" s="108"/>
      <c r="K21" s="108" t="s">
        <v>244</v>
      </c>
      <c r="L21" s="108" t="s">
        <v>244</v>
      </c>
      <c r="M21" s="108"/>
      <c r="N21" s="189" t="s">
        <v>246</v>
      </c>
      <c r="O21" s="108"/>
    </row>
    <row r="22" spans="1:15" ht="29" x14ac:dyDescent="0.35">
      <c r="A22" s="54"/>
      <c r="B22" s="55" t="s">
        <v>263</v>
      </c>
      <c r="C22" s="56"/>
      <c r="E22" s="107" t="s">
        <v>244</v>
      </c>
      <c r="F22" s="107"/>
      <c r="G22" s="107"/>
      <c r="H22" s="107" t="s">
        <v>245</v>
      </c>
      <c r="I22" s="188"/>
      <c r="J22" s="108"/>
      <c r="K22" s="108" t="s">
        <v>244</v>
      </c>
      <c r="L22" s="108" t="s">
        <v>244</v>
      </c>
      <c r="M22" s="108"/>
      <c r="N22" s="189" t="s">
        <v>246</v>
      </c>
      <c r="O22" s="108"/>
    </row>
    <row r="23" spans="1:15" ht="15.5" x14ac:dyDescent="0.35">
      <c r="A23" s="54"/>
      <c r="B23" s="55" t="s">
        <v>264</v>
      </c>
      <c r="C23" s="56"/>
      <c r="E23" s="107" t="s">
        <v>244</v>
      </c>
      <c r="F23" s="107"/>
      <c r="G23" s="107"/>
      <c r="H23" s="107" t="s">
        <v>245</v>
      </c>
      <c r="I23" s="188"/>
      <c r="J23" s="108"/>
      <c r="K23" s="108" t="s">
        <v>244</v>
      </c>
      <c r="L23" s="108" t="s">
        <v>244</v>
      </c>
      <c r="M23" s="108"/>
      <c r="N23" s="189" t="s">
        <v>246</v>
      </c>
      <c r="O23" s="108"/>
    </row>
    <row r="24" spans="1:15" ht="15.5" x14ac:dyDescent="0.35">
      <c r="A24" s="54"/>
      <c r="B24" s="55" t="s">
        <v>265</v>
      </c>
      <c r="C24" s="56"/>
      <c r="E24" s="107" t="s">
        <v>244</v>
      </c>
      <c r="F24" s="107"/>
      <c r="G24" s="107"/>
      <c r="H24" s="107" t="s">
        <v>245</v>
      </c>
      <c r="I24" s="188"/>
      <c r="J24" s="108"/>
      <c r="K24" s="108" t="s">
        <v>244</v>
      </c>
      <c r="L24" s="108" t="s">
        <v>244</v>
      </c>
      <c r="M24" s="108"/>
      <c r="N24" s="189" t="s">
        <v>246</v>
      </c>
      <c r="O24" s="108"/>
    </row>
    <row r="25" spans="1:15" ht="29" x14ac:dyDescent="0.35">
      <c r="A25" s="54"/>
      <c r="B25" s="55" t="s">
        <v>266</v>
      </c>
      <c r="C25" s="56"/>
      <c r="E25" s="107" t="s">
        <v>244</v>
      </c>
      <c r="F25" s="107"/>
      <c r="G25" s="107"/>
      <c r="H25" s="107" t="s">
        <v>245</v>
      </c>
      <c r="I25" s="188"/>
      <c r="J25" s="108"/>
      <c r="K25" s="108" t="s">
        <v>244</v>
      </c>
      <c r="L25" s="108" t="s">
        <v>244</v>
      </c>
      <c r="M25" s="108"/>
      <c r="N25" s="189" t="s">
        <v>246</v>
      </c>
      <c r="O25" s="108"/>
    </row>
    <row r="26" spans="1:15" ht="15.5" x14ac:dyDescent="0.35">
      <c r="A26" s="54"/>
      <c r="B26" s="55" t="s">
        <v>267</v>
      </c>
      <c r="C26" s="56"/>
      <c r="E26" s="107" t="s">
        <v>244</v>
      </c>
      <c r="F26" s="107"/>
      <c r="G26" s="107"/>
      <c r="H26" s="107" t="s">
        <v>245</v>
      </c>
      <c r="I26" s="188"/>
      <c r="J26" s="108"/>
      <c r="K26" s="108" t="s">
        <v>244</v>
      </c>
      <c r="L26" s="108" t="s">
        <v>244</v>
      </c>
      <c r="M26" s="108"/>
      <c r="N26" s="189" t="s">
        <v>246</v>
      </c>
      <c r="O26" s="108"/>
    </row>
    <row r="27" spans="1:15" ht="15.5" x14ac:dyDescent="0.35">
      <c r="A27" s="54"/>
      <c r="B27" s="55" t="s">
        <v>268</v>
      </c>
      <c r="C27" s="56"/>
      <c r="E27" s="107" t="s">
        <v>244</v>
      </c>
      <c r="F27" s="107"/>
      <c r="G27" s="107"/>
      <c r="H27" s="107" t="s">
        <v>245</v>
      </c>
      <c r="I27" s="188"/>
      <c r="J27" s="108"/>
      <c r="K27" s="108" t="s">
        <v>244</v>
      </c>
      <c r="L27" s="108" t="s">
        <v>244</v>
      </c>
      <c r="M27" s="108"/>
      <c r="N27" s="189" t="s">
        <v>246</v>
      </c>
      <c r="O27" s="108"/>
    </row>
    <row r="28" spans="1:15" ht="15.5" x14ac:dyDescent="0.35">
      <c r="A28" s="54"/>
      <c r="B28" s="55" t="s">
        <v>269</v>
      </c>
      <c r="C28" s="56"/>
      <c r="E28" s="107" t="s">
        <v>244</v>
      </c>
      <c r="F28" s="107"/>
      <c r="G28" s="107"/>
      <c r="H28" s="107" t="s">
        <v>245</v>
      </c>
      <c r="I28" s="188"/>
      <c r="J28" s="108"/>
      <c r="K28" s="108" t="s">
        <v>244</v>
      </c>
      <c r="L28" s="108" t="s">
        <v>244</v>
      </c>
      <c r="M28" s="108"/>
      <c r="N28" s="189" t="s">
        <v>246</v>
      </c>
      <c r="O28" s="108"/>
    </row>
    <row r="29" spans="1:15" ht="15.5" x14ac:dyDescent="0.35">
      <c r="A29" s="54"/>
      <c r="B29" s="55" t="s">
        <v>270</v>
      </c>
      <c r="C29" s="56"/>
      <c r="E29" s="107" t="s">
        <v>244</v>
      </c>
      <c r="F29" s="107"/>
      <c r="G29" s="107"/>
      <c r="H29" s="107" t="s">
        <v>245</v>
      </c>
      <c r="I29" s="188"/>
      <c r="J29" s="108"/>
      <c r="K29" s="108" t="s">
        <v>244</v>
      </c>
      <c r="L29" s="108" t="s">
        <v>244</v>
      </c>
      <c r="M29" s="108"/>
      <c r="N29" s="189"/>
      <c r="O29" s="108"/>
    </row>
    <row r="30" spans="1:15" ht="66.650000000000006" customHeight="1" x14ac:dyDescent="0.35">
      <c r="A30" s="54"/>
      <c r="B30" s="55" t="s">
        <v>271</v>
      </c>
      <c r="C30" s="56"/>
      <c r="E30" s="107"/>
      <c r="F30" s="107"/>
      <c r="G30" s="107"/>
      <c r="H30" s="107"/>
      <c r="I30" s="188"/>
      <c r="J30" s="108"/>
      <c r="K30" s="108"/>
      <c r="L30" s="108"/>
      <c r="M30" s="108"/>
      <c r="N30" s="189"/>
      <c r="O30" s="108"/>
    </row>
    <row r="31" spans="1:15" ht="15.5" x14ac:dyDescent="0.35">
      <c r="A31" s="54" t="s">
        <v>272</v>
      </c>
      <c r="B31" s="55" t="s">
        <v>273</v>
      </c>
      <c r="C31" s="56">
        <v>39111500</v>
      </c>
      <c r="E31" s="107" t="s">
        <v>244</v>
      </c>
      <c r="F31" s="107"/>
      <c r="G31" s="107"/>
      <c r="H31" s="107"/>
      <c r="I31" s="188"/>
      <c r="J31" s="108"/>
      <c r="K31" s="108" t="s">
        <v>244</v>
      </c>
      <c r="L31" s="108"/>
      <c r="M31" s="108"/>
      <c r="N31" s="189"/>
      <c r="O31" s="108"/>
    </row>
    <row r="32" spans="1:15" ht="15.5" x14ac:dyDescent="0.35">
      <c r="A32" s="54" t="s">
        <v>272</v>
      </c>
      <c r="B32" s="55" t="s">
        <v>274</v>
      </c>
      <c r="C32" s="56">
        <v>45121500</v>
      </c>
      <c r="E32" s="107" t="s">
        <v>244</v>
      </c>
      <c r="F32" s="107"/>
      <c r="G32" s="107"/>
      <c r="H32" s="107"/>
      <c r="I32" s="188"/>
      <c r="J32" s="108"/>
      <c r="K32" s="108" t="s">
        <v>244</v>
      </c>
      <c r="L32" s="108"/>
      <c r="M32" s="108"/>
      <c r="N32" s="189"/>
      <c r="O32" s="108"/>
    </row>
    <row r="33" spans="1:15" ht="15.5" x14ac:dyDescent="0.35">
      <c r="A33" s="54" t="s">
        <v>272</v>
      </c>
      <c r="B33" s="55" t="s">
        <v>275</v>
      </c>
      <c r="C33" s="56">
        <v>46171600</v>
      </c>
      <c r="E33" s="107" t="s">
        <v>244</v>
      </c>
      <c r="F33" s="107"/>
      <c r="G33" s="107"/>
      <c r="H33" s="107"/>
      <c r="I33" s="188"/>
      <c r="J33" s="108"/>
      <c r="K33" s="108" t="s">
        <v>244</v>
      </c>
      <c r="L33" s="108"/>
      <c r="M33" s="108"/>
      <c r="N33" s="189"/>
      <c r="O33" s="108"/>
    </row>
    <row r="34" spans="1:15" ht="15.5" x14ac:dyDescent="0.35">
      <c r="A34" s="54" t="s">
        <v>272</v>
      </c>
      <c r="B34" s="55" t="s">
        <v>276</v>
      </c>
      <c r="C34" s="56">
        <v>92121700</v>
      </c>
      <c r="E34" s="107" t="s">
        <v>244</v>
      </c>
      <c r="F34" s="107"/>
      <c r="G34" s="107"/>
      <c r="H34" s="107"/>
      <c r="I34" s="188"/>
      <c r="J34" s="108"/>
      <c r="K34" s="108" t="s">
        <v>244</v>
      </c>
      <c r="L34" s="108"/>
      <c r="M34" s="108"/>
      <c r="N34" s="189"/>
      <c r="O34" s="108"/>
    </row>
    <row r="35" spans="1:15" ht="15.5" x14ac:dyDescent="0.35">
      <c r="A35" s="54" t="s">
        <v>272</v>
      </c>
      <c r="B35" s="55" t="s">
        <v>277</v>
      </c>
      <c r="C35" s="56">
        <v>72121400</v>
      </c>
      <c r="E35" s="107" t="s">
        <v>244</v>
      </c>
      <c r="F35" s="107"/>
      <c r="G35" s="107"/>
      <c r="H35" s="107"/>
      <c r="I35" s="188"/>
      <c r="J35" s="108"/>
      <c r="K35" s="108" t="s">
        <v>244</v>
      </c>
      <c r="L35" s="108"/>
      <c r="M35" s="108"/>
      <c r="N35" s="189"/>
      <c r="O35" s="108"/>
    </row>
    <row r="36" spans="1:15" ht="14.5" x14ac:dyDescent="0.35"/>
    <row r="37" spans="1:15" ht="14.5" x14ac:dyDescent="0.35"/>
    <row r="38" spans="1:15" ht="14.5" x14ac:dyDescent="0.35"/>
    <row r="39" spans="1:15" ht="14.5" x14ac:dyDescent="0.35"/>
    <row r="40" spans="1:15" ht="14.5" x14ac:dyDescent="0.35"/>
    <row r="41" spans="1:15" ht="14.5" x14ac:dyDescent="0.35"/>
  </sheetData>
  <sheetProtection algorithmName="SHA-512" hashValue="fd+iETZwpbeRLJEA3JFzkl/caZt6caMmxVUOAYq35JUyYiP4tXr6tc1ZiIBUyaUQiL70ZQKvEZRl5AYSi4bjVg==" saltValue="ZAFhFPvXB1K+wMSyqubKRQ==" spinCount="100000" sheet="1" objects="1" scenarios="1"/>
  <mergeCells count="2">
    <mergeCell ref="E1:H1"/>
    <mergeCell ref="J1:N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ADA0E-8D03-4B8D-A9FD-AD3D77BFC912}">
  <dimension ref="A1:J37"/>
  <sheetViews>
    <sheetView zoomScale="85" zoomScaleNormal="85" workbookViewId="0">
      <selection activeCell="G4" sqref="G4"/>
    </sheetView>
  </sheetViews>
  <sheetFormatPr baseColWidth="10" defaultColWidth="11.453125" defaultRowHeight="14.5" x14ac:dyDescent="0.35"/>
  <cols>
    <col min="1" max="1" width="8.54296875" customWidth="1"/>
    <col min="2" max="2" width="97.1796875" style="23" customWidth="1"/>
    <col min="3" max="3" width="11.453125" customWidth="1"/>
    <col min="4" max="4" width="13.453125" customWidth="1"/>
    <col min="5" max="5" width="22.26953125" customWidth="1"/>
    <col min="6" max="6" width="15.26953125" customWidth="1"/>
  </cols>
  <sheetData>
    <row r="1" spans="1:10" ht="24.75" customHeight="1" x14ac:dyDescent="0.35">
      <c r="A1" s="49" t="s">
        <v>326</v>
      </c>
      <c r="B1" s="81" t="s">
        <v>327</v>
      </c>
      <c r="D1" s="250" t="s">
        <v>229</v>
      </c>
      <c r="E1" s="250"/>
      <c r="F1" s="250" t="s">
        <v>230</v>
      </c>
      <c r="G1" s="250"/>
    </row>
    <row r="2" spans="1:10" x14ac:dyDescent="0.35">
      <c r="A2" s="49" t="s">
        <v>328</v>
      </c>
      <c r="B2" s="81" t="s">
        <v>329</v>
      </c>
      <c r="D2" s="91" t="s">
        <v>330</v>
      </c>
      <c r="E2" s="97" t="s">
        <v>331</v>
      </c>
      <c r="F2" s="95" t="s">
        <v>330</v>
      </c>
      <c r="G2" s="95" t="s">
        <v>331</v>
      </c>
    </row>
    <row r="3" spans="1:10" ht="43.5" x14ac:dyDescent="0.35">
      <c r="A3" s="1"/>
      <c r="B3" s="3" t="s">
        <v>332</v>
      </c>
      <c r="D3" s="194" t="s">
        <v>244</v>
      </c>
      <c r="E3" s="173" t="s">
        <v>333</v>
      </c>
      <c r="F3" s="186" t="s">
        <v>244</v>
      </c>
      <c r="G3" s="186" t="s">
        <v>334</v>
      </c>
    </row>
    <row r="4" spans="1:10" ht="29" x14ac:dyDescent="0.35">
      <c r="A4" s="1"/>
      <c r="B4" s="3" t="s">
        <v>335</v>
      </c>
      <c r="D4" s="194" t="s">
        <v>244</v>
      </c>
      <c r="E4" s="173" t="s">
        <v>333</v>
      </c>
      <c r="F4" s="186" t="s">
        <v>244</v>
      </c>
      <c r="G4" s="186" t="s">
        <v>334</v>
      </c>
    </row>
    <row r="5" spans="1:10" x14ac:dyDescent="0.35">
      <c r="A5" s="1"/>
      <c r="B5" s="3" t="s">
        <v>336</v>
      </c>
      <c r="D5" s="194" t="s">
        <v>244</v>
      </c>
      <c r="E5" s="173" t="s">
        <v>333</v>
      </c>
      <c r="F5" s="186" t="s">
        <v>244</v>
      </c>
      <c r="G5" s="186" t="s">
        <v>334</v>
      </c>
    </row>
    <row r="6" spans="1:10" x14ac:dyDescent="0.35">
      <c r="A6" s="1"/>
      <c r="B6" s="3"/>
      <c r="D6" s="194"/>
      <c r="E6" s="173"/>
      <c r="F6" s="186"/>
      <c r="G6" s="186"/>
    </row>
    <row r="7" spans="1:10" ht="72.5" x14ac:dyDescent="0.35">
      <c r="A7" s="1"/>
      <c r="B7" s="3" t="s">
        <v>337</v>
      </c>
      <c r="D7" s="195">
        <v>39758</v>
      </c>
      <c r="E7" s="173" t="s">
        <v>333</v>
      </c>
      <c r="F7" s="190">
        <v>39539</v>
      </c>
      <c r="G7" s="186" t="s">
        <v>334</v>
      </c>
    </row>
    <row r="8" spans="1:10" x14ac:dyDescent="0.35">
      <c r="A8" s="1"/>
      <c r="B8" s="3"/>
      <c r="D8" s="194"/>
      <c r="E8" s="191"/>
      <c r="F8" s="190"/>
      <c r="G8" s="192"/>
    </row>
    <row r="9" spans="1:10" ht="72.5" x14ac:dyDescent="0.35">
      <c r="A9" s="1"/>
      <c r="B9" s="3" t="s">
        <v>338</v>
      </c>
      <c r="D9" s="194" t="s">
        <v>339</v>
      </c>
      <c r="E9" s="173" t="s">
        <v>333</v>
      </c>
      <c r="F9" s="190" t="s">
        <v>587</v>
      </c>
      <c r="G9" s="186" t="s">
        <v>334</v>
      </c>
      <c r="H9" s="85"/>
      <c r="I9" s="85"/>
      <c r="J9" s="44"/>
    </row>
    <row r="10" spans="1:10" x14ac:dyDescent="0.35">
      <c r="A10" s="1"/>
      <c r="B10" s="3"/>
      <c r="D10" s="194"/>
      <c r="E10" s="173"/>
      <c r="F10" s="190"/>
      <c r="G10" s="190"/>
      <c r="H10" s="85"/>
      <c r="I10" s="85"/>
      <c r="J10" s="44"/>
    </row>
    <row r="11" spans="1:10" ht="58" x14ac:dyDescent="0.35">
      <c r="A11" s="1"/>
      <c r="B11" s="3" t="s">
        <v>340</v>
      </c>
      <c r="D11" s="194" t="s">
        <v>244</v>
      </c>
      <c r="E11" s="173" t="s">
        <v>333</v>
      </c>
      <c r="F11" s="190" t="s">
        <v>244</v>
      </c>
      <c r="G11" s="186" t="s">
        <v>334</v>
      </c>
      <c r="J11" s="44"/>
    </row>
    <row r="12" spans="1:10" x14ac:dyDescent="0.35">
      <c r="A12" s="49" t="s">
        <v>341</v>
      </c>
      <c r="B12" s="81" t="s">
        <v>342</v>
      </c>
      <c r="D12" s="185"/>
      <c r="E12" s="173"/>
      <c r="F12" s="190"/>
      <c r="G12" s="190"/>
    </row>
    <row r="13" spans="1:10" ht="16.75" customHeight="1" x14ac:dyDescent="0.35">
      <c r="A13" s="1"/>
      <c r="B13" s="3"/>
      <c r="D13" s="185"/>
      <c r="E13" s="173"/>
      <c r="F13" s="190"/>
      <c r="G13" s="190"/>
    </row>
    <row r="14" spans="1:10" ht="43.4" customHeight="1" x14ac:dyDescent="0.35">
      <c r="A14" s="1"/>
      <c r="B14" s="3" t="s">
        <v>343</v>
      </c>
      <c r="D14" s="185" t="s">
        <v>244</v>
      </c>
      <c r="E14" s="173" t="s">
        <v>344</v>
      </c>
      <c r="F14" s="186" t="s">
        <v>244</v>
      </c>
      <c r="G14" s="186" t="s">
        <v>345</v>
      </c>
    </row>
    <row r="15" spans="1:10" ht="16.75" customHeight="1" x14ac:dyDescent="0.35">
      <c r="A15" s="1"/>
      <c r="B15" s="3" t="s">
        <v>346</v>
      </c>
      <c r="D15" s="185" t="s">
        <v>244</v>
      </c>
      <c r="E15" s="173"/>
      <c r="F15" s="186" t="s">
        <v>244</v>
      </c>
      <c r="G15" s="186" t="s">
        <v>345</v>
      </c>
    </row>
    <row r="16" spans="1:10" ht="16.75" customHeight="1" x14ac:dyDescent="0.35">
      <c r="A16" s="1"/>
      <c r="B16" s="3"/>
      <c r="D16" s="185"/>
      <c r="E16" s="173"/>
      <c r="F16" s="186"/>
      <c r="G16" s="186"/>
    </row>
    <row r="17" spans="1:7" ht="76.75" customHeight="1" x14ac:dyDescent="0.35">
      <c r="A17" s="1"/>
      <c r="B17" s="3" t="s">
        <v>337</v>
      </c>
      <c r="D17" s="193">
        <v>34543</v>
      </c>
      <c r="E17" s="173" t="s">
        <v>344</v>
      </c>
      <c r="F17" s="190">
        <v>39367</v>
      </c>
      <c r="G17" s="186" t="s">
        <v>345</v>
      </c>
    </row>
    <row r="18" spans="1:7" ht="31.75" customHeight="1" x14ac:dyDescent="0.35">
      <c r="A18" s="1"/>
      <c r="B18" s="3"/>
      <c r="D18" s="185"/>
      <c r="E18" s="173"/>
      <c r="F18" s="186"/>
      <c r="G18" s="190"/>
    </row>
    <row r="19" spans="1:7" ht="58" x14ac:dyDescent="0.35">
      <c r="A19" s="1"/>
      <c r="B19" s="3" t="s">
        <v>347</v>
      </c>
      <c r="D19" s="185" t="s">
        <v>348</v>
      </c>
      <c r="E19" s="173" t="s">
        <v>344</v>
      </c>
      <c r="F19" s="190" t="s">
        <v>349</v>
      </c>
      <c r="G19" s="186" t="s">
        <v>345</v>
      </c>
    </row>
    <row r="20" spans="1:7" ht="16.75" customHeight="1" x14ac:dyDescent="0.35">
      <c r="A20" s="1"/>
      <c r="B20" s="3" t="s">
        <v>350</v>
      </c>
      <c r="D20" s="185"/>
      <c r="E20" s="191"/>
      <c r="F20" s="190"/>
      <c r="G20" s="190"/>
    </row>
    <row r="21" spans="1:7" ht="16.75" customHeight="1" x14ac:dyDescent="0.35">
      <c r="A21" s="1"/>
      <c r="B21" s="3" t="s">
        <v>351</v>
      </c>
      <c r="D21" s="185"/>
      <c r="E21" s="191"/>
      <c r="F21" s="190"/>
      <c r="G21" s="190"/>
    </row>
    <row r="22" spans="1:7" ht="16.75" customHeight="1" x14ac:dyDescent="0.35">
      <c r="A22" s="1"/>
      <c r="B22" s="3" t="s">
        <v>352</v>
      </c>
      <c r="D22" s="185"/>
      <c r="E22" s="191"/>
      <c r="F22" s="190"/>
      <c r="G22" s="190"/>
    </row>
    <row r="23" spans="1:7" ht="16.75" customHeight="1" x14ac:dyDescent="0.35">
      <c r="A23" s="1"/>
      <c r="B23" s="3" t="s">
        <v>353</v>
      </c>
      <c r="D23" s="185"/>
      <c r="E23" s="191"/>
      <c r="F23" s="190"/>
      <c r="G23" s="190"/>
    </row>
    <row r="24" spans="1:7" ht="16.75" customHeight="1" x14ac:dyDescent="0.35">
      <c r="A24" s="1"/>
      <c r="B24" s="3" t="s">
        <v>354</v>
      </c>
      <c r="D24" s="185"/>
      <c r="E24" s="191"/>
      <c r="F24" s="190"/>
      <c r="G24" s="190"/>
    </row>
    <row r="25" spans="1:7" ht="16.75" customHeight="1" x14ac:dyDescent="0.35">
      <c r="A25" s="1"/>
      <c r="B25" s="3" t="s">
        <v>355</v>
      </c>
      <c r="D25" s="185"/>
      <c r="E25" s="191"/>
      <c r="F25" s="190"/>
      <c r="G25" s="190"/>
    </row>
    <row r="26" spans="1:7" ht="16.75" customHeight="1" x14ac:dyDescent="0.35">
      <c r="A26" s="1"/>
      <c r="B26" s="3"/>
      <c r="D26" s="185"/>
      <c r="E26" s="191"/>
      <c r="F26" s="190"/>
      <c r="G26" s="190"/>
    </row>
    <row r="27" spans="1:7" ht="60.65" customHeight="1" x14ac:dyDescent="0.35">
      <c r="A27" s="1"/>
      <c r="B27" s="3" t="s">
        <v>340</v>
      </c>
      <c r="D27" s="185" t="s">
        <v>244</v>
      </c>
      <c r="E27" s="173"/>
      <c r="F27" s="190" t="s">
        <v>244</v>
      </c>
      <c r="G27" s="186" t="s">
        <v>345</v>
      </c>
    </row>
    <row r="28" spans="1:7" x14ac:dyDescent="0.35">
      <c r="A28" s="49" t="s">
        <v>356</v>
      </c>
      <c r="B28" s="81" t="s">
        <v>357</v>
      </c>
      <c r="D28" s="185"/>
      <c r="E28" s="173"/>
      <c r="F28" s="186"/>
      <c r="G28" s="186"/>
    </row>
    <row r="29" spans="1:7" x14ac:dyDescent="0.35">
      <c r="A29" s="1"/>
      <c r="B29" s="3"/>
      <c r="D29" s="185"/>
      <c r="E29" s="173"/>
      <c r="F29" s="186"/>
      <c r="G29" s="186"/>
    </row>
    <row r="30" spans="1:7" ht="43.5" x14ac:dyDescent="0.35">
      <c r="A30" s="1"/>
      <c r="B30" s="3" t="s">
        <v>358</v>
      </c>
      <c r="D30" s="185" t="s">
        <v>308</v>
      </c>
      <c r="E30" s="173" t="s">
        <v>359</v>
      </c>
      <c r="F30" s="186" t="s">
        <v>244</v>
      </c>
      <c r="G30" s="186" t="s">
        <v>360</v>
      </c>
    </row>
    <row r="31" spans="1:7" x14ac:dyDescent="0.35">
      <c r="A31" s="1"/>
      <c r="B31" s="3" t="s">
        <v>361</v>
      </c>
      <c r="D31" s="185" t="s">
        <v>244</v>
      </c>
      <c r="E31" s="173" t="s">
        <v>359</v>
      </c>
      <c r="F31" s="186" t="s">
        <v>244</v>
      </c>
      <c r="G31" s="186" t="s">
        <v>360</v>
      </c>
    </row>
    <row r="32" spans="1:7" x14ac:dyDescent="0.35">
      <c r="A32" s="1"/>
      <c r="B32" s="3"/>
      <c r="D32" s="185"/>
      <c r="E32" s="173"/>
      <c r="F32" s="186"/>
      <c r="G32" s="186"/>
    </row>
    <row r="33" spans="1:7" ht="72.5" x14ac:dyDescent="0.35">
      <c r="A33" s="1"/>
      <c r="B33" s="3" t="s">
        <v>362</v>
      </c>
      <c r="D33" s="185" t="s">
        <v>244</v>
      </c>
      <c r="E33" s="173" t="s">
        <v>359</v>
      </c>
      <c r="F33" s="190">
        <v>44153</v>
      </c>
      <c r="G33" s="186" t="s">
        <v>360</v>
      </c>
    </row>
    <row r="34" spans="1:7" x14ac:dyDescent="0.35">
      <c r="A34" s="1"/>
      <c r="B34" s="3"/>
      <c r="D34" s="185"/>
      <c r="E34" s="173"/>
      <c r="F34" s="186"/>
      <c r="G34" s="186"/>
    </row>
    <row r="35" spans="1:7" ht="43.5" x14ac:dyDescent="0.35">
      <c r="A35" s="1"/>
      <c r="B35" s="3" t="s">
        <v>363</v>
      </c>
      <c r="D35" s="185" t="s">
        <v>244</v>
      </c>
      <c r="E35" s="173" t="s">
        <v>359</v>
      </c>
      <c r="F35" s="186" t="s">
        <v>244</v>
      </c>
      <c r="G35" s="186" t="s">
        <v>360</v>
      </c>
    </row>
    <row r="36" spans="1:7" x14ac:dyDescent="0.35">
      <c r="A36" s="1"/>
      <c r="B36" s="3"/>
      <c r="D36" s="185"/>
      <c r="E36" s="173"/>
      <c r="F36" s="186"/>
      <c r="G36" s="186"/>
    </row>
    <row r="37" spans="1:7" ht="58" x14ac:dyDescent="0.35">
      <c r="A37" s="1"/>
      <c r="B37" s="3" t="s">
        <v>340</v>
      </c>
      <c r="D37" s="185" t="s">
        <v>244</v>
      </c>
      <c r="E37" s="173">
        <v>577</v>
      </c>
      <c r="F37" s="186" t="s">
        <v>244</v>
      </c>
      <c r="G37" s="186" t="s">
        <v>360</v>
      </c>
    </row>
  </sheetData>
  <sheetProtection algorithmName="SHA-512" hashValue="8bh1SBdSE40r6OHmc8YP6AE/dm0mB4fUclRwsCEBUVs4iTZGQGV0kDM0p6DyAlhg40xHtnWfdN05V4NzPpnWYg==" saltValue="apoECS/62pUGKVppMDc4Pg==" spinCount="100000" sheet="1" objects="1" scenarios="1"/>
  <mergeCells count="2">
    <mergeCell ref="D1:E1"/>
    <mergeCell ref="F1:G1"/>
  </mergeCells>
  <phoneticPr fontId="25" type="noConversion"/>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8"/>
  <sheetViews>
    <sheetView topLeftCell="A17" zoomScale="85" zoomScaleNormal="85" workbookViewId="0">
      <selection activeCell="O17" sqref="O17"/>
    </sheetView>
  </sheetViews>
  <sheetFormatPr baseColWidth="10" defaultColWidth="11.453125" defaultRowHeight="15" customHeight="1" x14ac:dyDescent="0.35"/>
  <cols>
    <col min="1" max="1" width="8.1796875" style="26" customWidth="1"/>
    <col min="2" max="2" width="47.54296875" style="26" customWidth="1"/>
    <col min="3" max="3" width="11.453125" style="26"/>
    <col min="4" max="5" width="14.26953125" style="26" customWidth="1"/>
    <col min="6" max="6" width="13.453125" style="26" customWidth="1"/>
    <col min="7" max="7" width="11.453125" style="26"/>
    <col min="8" max="8" width="34.7265625" style="26" customWidth="1"/>
    <col min="9" max="12" width="11.453125" style="26"/>
    <col min="13" max="13" width="15.453125" style="26" customWidth="1"/>
    <col min="14" max="14" width="11.453125" style="26"/>
    <col min="15" max="15" width="31.90625" style="26" customWidth="1"/>
  </cols>
  <sheetData>
    <row r="1" spans="1:15" ht="46.5" customHeight="1" x14ac:dyDescent="0.35">
      <c r="D1" s="252" t="s">
        <v>229</v>
      </c>
      <c r="E1" s="252"/>
      <c r="F1" s="252"/>
      <c r="G1" s="252"/>
      <c r="H1" s="253"/>
      <c r="I1" s="252" t="s">
        <v>230</v>
      </c>
      <c r="J1" s="252"/>
      <c r="K1" s="252"/>
      <c r="L1" s="252"/>
      <c r="M1" s="252"/>
      <c r="N1" s="252"/>
      <c r="O1" s="253"/>
    </row>
    <row r="2" spans="1:15" ht="58" x14ac:dyDescent="0.35">
      <c r="A2" s="6"/>
      <c r="B2" s="151" t="s">
        <v>364</v>
      </c>
      <c r="C2" s="151" t="s">
        <v>365</v>
      </c>
      <c r="D2" s="14" t="s">
        <v>368</v>
      </c>
      <c r="E2" s="14" t="s">
        <v>369</v>
      </c>
      <c r="F2" s="150" t="s">
        <v>366</v>
      </c>
      <c r="G2" s="14" t="s">
        <v>367</v>
      </c>
      <c r="H2" s="196" t="s">
        <v>228</v>
      </c>
      <c r="I2" s="14" t="s">
        <v>370</v>
      </c>
      <c r="J2" s="14" t="s">
        <v>371</v>
      </c>
      <c r="K2" s="14" t="s">
        <v>372</v>
      </c>
      <c r="L2" s="14" t="s">
        <v>373</v>
      </c>
      <c r="M2" s="14" t="s">
        <v>366</v>
      </c>
      <c r="N2" s="14" t="s">
        <v>367</v>
      </c>
      <c r="O2" s="196" t="s">
        <v>228</v>
      </c>
    </row>
    <row r="3" spans="1:15" ht="14.5" x14ac:dyDescent="0.35">
      <c r="A3" s="2">
        <v>1</v>
      </c>
      <c r="B3" s="152" t="s">
        <v>374</v>
      </c>
      <c r="C3" s="152" t="s">
        <v>375</v>
      </c>
      <c r="D3" s="2">
        <v>1</v>
      </c>
      <c r="E3" s="2">
        <v>0</v>
      </c>
      <c r="F3" s="152" t="s">
        <v>376</v>
      </c>
      <c r="G3" s="2">
        <v>592</v>
      </c>
      <c r="H3" s="2"/>
      <c r="I3" s="2">
        <v>0</v>
      </c>
      <c r="J3" s="2">
        <v>0</v>
      </c>
      <c r="K3" s="2">
        <v>0</v>
      </c>
      <c r="L3" s="2">
        <v>0</v>
      </c>
      <c r="M3" s="152"/>
      <c r="N3" s="2"/>
      <c r="O3" s="152"/>
    </row>
    <row r="4" spans="1:15" ht="14.5" x14ac:dyDescent="0.35">
      <c r="A4" s="2">
        <v>2</v>
      </c>
      <c r="B4" s="152" t="s">
        <v>377</v>
      </c>
      <c r="C4" s="152" t="s">
        <v>375</v>
      </c>
      <c r="D4" s="2">
        <v>0</v>
      </c>
      <c r="E4" s="2">
        <v>0</v>
      </c>
      <c r="F4" s="152"/>
      <c r="G4" s="2"/>
      <c r="H4" s="2"/>
      <c r="I4" s="2">
        <v>0</v>
      </c>
      <c r="J4" s="2">
        <v>0</v>
      </c>
      <c r="K4" s="2">
        <v>0</v>
      </c>
      <c r="L4" s="2">
        <v>0</v>
      </c>
      <c r="M4" s="152"/>
      <c r="N4" s="2"/>
      <c r="O4" s="152"/>
    </row>
    <row r="5" spans="1:15" ht="43.5" x14ac:dyDescent="0.35">
      <c r="A5" s="2">
        <v>3</v>
      </c>
      <c r="B5" s="152" t="s">
        <v>378</v>
      </c>
      <c r="C5" s="152" t="s">
        <v>375</v>
      </c>
      <c r="D5" s="2">
        <v>1</v>
      </c>
      <c r="E5" s="2">
        <v>0</v>
      </c>
      <c r="F5" s="154" t="s">
        <v>379</v>
      </c>
      <c r="G5" s="197" t="s">
        <v>380</v>
      </c>
      <c r="H5" s="2"/>
      <c r="I5" s="2">
        <v>1</v>
      </c>
      <c r="J5" s="2">
        <v>0</v>
      </c>
      <c r="K5" s="2">
        <v>0</v>
      </c>
      <c r="L5" s="2">
        <v>0</v>
      </c>
      <c r="M5" s="154" t="s">
        <v>379</v>
      </c>
      <c r="N5" s="2" t="s">
        <v>381</v>
      </c>
      <c r="O5" s="152"/>
    </row>
    <row r="6" spans="1:15" ht="14.5" x14ac:dyDescent="0.35">
      <c r="A6" s="2">
        <v>4</v>
      </c>
      <c r="B6" s="152" t="s">
        <v>382</v>
      </c>
      <c r="C6" s="152" t="s">
        <v>375</v>
      </c>
      <c r="D6" s="2">
        <v>1</v>
      </c>
      <c r="E6" s="2">
        <v>0</v>
      </c>
      <c r="F6" s="152" t="s">
        <v>383</v>
      </c>
      <c r="G6" s="2">
        <v>603</v>
      </c>
      <c r="H6" s="2"/>
      <c r="I6" s="2">
        <v>1</v>
      </c>
      <c r="J6" s="2">
        <v>0</v>
      </c>
      <c r="K6" s="2">
        <v>0</v>
      </c>
      <c r="L6" s="2">
        <v>0</v>
      </c>
      <c r="M6" s="152" t="s">
        <v>383</v>
      </c>
      <c r="N6" s="2" t="s">
        <v>384</v>
      </c>
      <c r="O6" s="152"/>
    </row>
    <row r="7" spans="1:15" ht="14.5" x14ac:dyDescent="0.35">
      <c r="A7" s="2">
        <v>5</v>
      </c>
      <c r="B7" s="152" t="s">
        <v>385</v>
      </c>
      <c r="C7" s="152" t="s">
        <v>375</v>
      </c>
      <c r="D7" s="2">
        <v>0</v>
      </c>
      <c r="E7" s="2">
        <v>0</v>
      </c>
      <c r="F7" s="152"/>
      <c r="G7" s="2"/>
      <c r="H7" s="2"/>
      <c r="I7" s="2">
        <v>0</v>
      </c>
      <c r="J7" s="2">
        <v>0</v>
      </c>
      <c r="K7" s="2">
        <v>0</v>
      </c>
      <c r="L7" s="2">
        <v>0</v>
      </c>
      <c r="M7" s="152"/>
      <c r="N7" s="2"/>
      <c r="O7" s="152"/>
    </row>
    <row r="8" spans="1:15" ht="14.5" x14ac:dyDescent="0.35">
      <c r="A8" s="2">
        <v>6</v>
      </c>
      <c r="B8" s="152" t="s">
        <v>386</v>
      </c>
      <c r="C8" s="152" t="s">
        <v>375</v>
      </c>
      <c r="D8" s="2">
        <v>1</v>
      </c>
      <c r="E8" s="2">
        <v>0</v>
      </c>
      <c r="F8" s="152"/>
      <c r="G8" s="2">
        <v>606</v>
      </c>
      <c r="H8" s="2"/>
      <c r="I8" s="2">
        <v>1</v>
      </c>
      <c r="J8" s="2">
        <v>0</v>
      </c>
      <c r="K8" s="2">
        <v>0</v>
      </c>
      <c r="L8" s="2">
        <v>0</v>
      </c>
      <c r="M8" s="152" t="s">
        <v>387</v>
      </c>
      <c r="N8" s="2">
        <v>17</v>
      </c>
      <c r="O8" s="152"/>
    </row>
    <row r="9" spans="1:15" ht="14.5" x14ac:dyDescent="0.35">
      <c r="A9" s="2">
        <v>7</v>
      </c>
      <c r="B9" s="152" t="s">
        <v>388</v>
      </c>
      <c r="C9" s="152" t="s">
        <v>375</v>
      </c>
      <c r="D9" s="2">
        <v>1</v>
      </c>
      <c r="E9" s="2">
        <v>0</v>
      </c>
      <c r="F9" s="152" t="s">
        <v>389</v>
      </c>
      <c r="G9" s="2">
        <v>608</v>
      </c>
      <c r="H9" s="2"/>
      <c r="I9" s="2">
        <v>1</v>
      </c>
      <c r="J9" s="2">
        <v>0</v>
      </c>
      <c r="K9" s="2">
        <v>0</v>
      </c>
      <c r="L9" s="2">
        <v>0</v>
      </c>
      <c r="M9" s="152" t="s">
        <v>389</v>
      </c>
      <c r="N9" s="2">
        <v>19</v>
      </c>
      <c r="O9" s="152"/>
    </row>
    <row r="10" spans="1:15" ht="14.5" x14ac:dyDescent="0.35">
      <c r="A10" s="2">
        <v>8</v>
      </c>
      <c r="B10" s="152" t="s">
        <v>390</v>
      </c>
      <c r="C10" s="152" t="s">
        <v>375</v>
      </c>
      <c r="D10" s="2">
        <v>1</v>
      </c>
      <c r="E10" s="2">
        <v>0</v>
      </c>
      <c r="F10" s="152" t="s">
        <v>391</v>
      </c>
      <c r="G10" s="2">
        <v>611</v>
      </c>
      <c r="H10" s="2"/>
      <c r="I10" s="2">
        <v>0</v>
      </c>
      <c r="J10" s="2">
        <v>1</v>
      </c>
      <c r="K10" s="2">
        <v>0</v>
      </c>
      <c r="L10" s="2">
        <v>0</v>
      </c>
      <c r="M10" s="152" t="s">
        <v>392</v>
      </c>
      <c r="N10" s="2">
        <v>21</v>
      </c>
      <c r="O10" s="152"/>
    </row>
    <row r="11" spans="1:15" ht="14.5" x14ac:dyDescent="0.35">
      <c r="A11" s="2">
        <v>9</v>
      </c>
      <c r="B11" s="152" t="s">
        <v>393</v>
      </c>
      <c r="C11" s="152" t="s">
        <v>375</v>
      </c>
      <c r="D11" s="2">
        <v>0</v>
      </c>
      <c r="E11" s="2">
        <v>0</v>
      </c>
      <c r="F11" s="152"/>
      <c r="G11" s="2"/>
      <c r="H11" s="2"/>
      <c r="I11" s="2">
        <v>0</v>
      </c>
      <c r="J11" s="2">
        <v>0</v>
      </c>
      <c r="K11" s="2">
        <v>0</v>
      </c>
      <c r="L11" s="2">
        <v>0</v>
      </c>
      <c r="M11" s="152"/>
      <c r="N11" s="2"/>
      <c r="O11" s="152"/>
    </row>
    <row r="12" spans="1:15" ht="29" x14ac:dyDescent="0.35">
      <c r="A12" s="2">
        <v>10</v>
      </c>
      <c r="B12" s="152" t="s">
        <v>394</v>
      </c>
      <c r="C12" s="152" t="s">
        <v>375</v>
      </c>
      <c r="D12" s="2">
        <v>1</v>
      </c>
      <c r="E12" s="2">
        <v>0</v>
      </c>
      <c r="F12" s="152" t="s">
        <v>395</v>
      </c>
      <c r="G12" s="2">
        <v>614</v>
      </c>
      <c r="H12" s="2"/>
      <c r="I12" s="2">
        <v>0</v>
      </c>
      <c r="J12" s="2">
        <v>1</v>
      </c>
      <c r="K12" s="2">
        <v>0</v>
      </c>
      <c r="L12" s="2">
        <v>0</v>
      </c>
      <c r="M12" s="152" t="s">
        <v>395</v>
      </c>
      <c r="N12" s="197" t="s">
        <v>396</v>
      </c>
      <c r="O12" s="152"/>
    </row>
    <row r="13" spans="1:15" ht="43.5" x14ac:dyDescent="0.35">
      <c r="A13" s="2">
        <v>11</v>
      </c>
      <c r="B13" s="152" t="s">
        <v>397</v>
      </c>
      <c r="C13" s="152" t="s">
        <v>375</v>
      </c>
      <c r="D13" s="2">
        <v>1</v>
      </c>
      <c r="E13" s="2">
        <v>0</v>
      </c>
      <c r="F13" s="152" t="s">
        <v>398</v>
      </c>
      <c r="G13" s="2">
        <v>617</v>
      </c>
      <c r="H13" s="2"/>
      <c r="I13" s="2">
        <v>0</v>
      </c>
      <c r="J13" s="2">
        <v>1</v>
      </c>
      <c r="K13" s="2">
        <v>0</v>
      </c>
      <c r="L13" s="2">
        <v>0</v>
      </c>
      <c r="M13" s="154" t="s">
        <v>399</v>
      </c>
      <c r="N13" s="197" t="s">
        <v>400</v>
      </c>
      <c r="O13" s="152"/>
    </row>
    <row r="14" spans="1:15" ht="14.5" x14ac:dyDescent="0.35">
      <c r="A14" s="2">
        <v>12</v>
      </c>
      <c r="B14" s="152" t="s">
        <v>401</v>
      </c>
      <c r="C14" s="152" t="s">
        <v>375</v>
      </c>
      <c r="D14" s="2">
        <v>1</v>
      </c>
      <c r="E14" s="2">
        <v>0</v>
      </c>
      <c r="F14" s="154" t="s">
        <v>389</v>
      </c>
      <c r="G14" s="2">
        <v>620</v>
      </c>
      <c r="H14" s="2"/>
      <c r="I14" s="2">
        <v>1</v>
      </c>
      <c r="J14" s="2">
        <v>0</v>
      </c>
      <c r="K14" s="2">
        <v>0</v>
      </c>
      <c r="L14" s="2">
        <v>0</v>
      </c>
      <c r="M14" s="152" t="s">
        <v>389</v>
      </c>
      <c r="N14" s="2">
        <v>30</v>
      </c>
      <c r="O14" s="152"/>
    </row>
    <row r="15" spans="1:15" ht="14.5" x14ac:dyDescent="0.35">
      <c r="A15" s="2">
        <v>13</v>
      </c>
      <c r="B15" s="152" t="s">
        <v>402</v>
      </c>
      <c r="C15" s="152" t="s">
        <v>375</v>
      </c>
      <c r="D15" s="2">
        <v>1</v>
      </c>
      <c r="E15" s="2">
        <v>0</v>
      </c>
      <c r="F15" s="154" t="s">
        <v>389</v>
      </c>
      <c r="G15" s="2">
        <v>623</v>
      </c>
      <c r="H15" s="2"/>
      <c r="I15" s="2">
        <v>1</v>
      </c>
      <c r="J15" s="2">
        <v>0</v>
      </c>
      <c r="K15" s="2">
        <v>0</v>
      </c>
      <c r="L15" s="2">
        <v>0</v>
      </c>
      <c r="M15" s="154" t="s">
        <v>389</v>
      </c>
      <c r="N15" s="2">
        <v>32</v>
      </c>
      <c r="O15" s="152"/>
    </row>
    <row r="16" spans="1:15" ht="29" x14ac:dyDescent="0.35">
      <c r="A16" s="2">
        <v>14</v>
      </c>
      <c r="B16" s="152" t="s">
        <v>403</v>
      </c>
      <c r="C16" s="152" t="s">
        <v>375</v>
      </c>
      <c r="D16" s="2">
        <v>1</v>
      </c>
      <c r="E16" s="2">
        <v>0</v>
      </c>
      <c r="F16" s="152" t="s">
        <v>404</v>
      </c>
      <c r="G16" s="2">
        <v>626</v>
      </c>
      <c r="H16" s="2"/>
      <c r="I16" s="2">
        <v>1</v>
      </c>
      <c r="J16" s="2">
        <v>0</v>
      </c>
      <c r="K16" s="2">
        <v>0</v>
      </c>
      <c r="L16" s="2">
        <v>0</v>
      </c>
      <c r="M16" s="152" t="s">
        <v>404</v>
      </c>
      <c r="N16" s="197" t="s">
        <v>405</v>
      </c>
      <c r="O16" s="152"/>
    </row>
    <row r="17" spans="1:15" ht="101.5" x14ac:dyDescent="0.35">
      <c r="A17" s="2">
        <v>15</v>
      </c>
      <c r="B17" s="152" t="s">
        <v>406</v>
      </c>
      <c r="C17" s="152" t="s">
        <v>375</v>
      </c>
      <c r="D17" s="2">
        <v>0</v>
      </c>
      <c r="E17" s="2">
        <v>0</v>
      </c>
      <c r="F17" s="152"/>
      <c r="G17" s="2"/>
      <c r="H17" s="2"/>
      <c r="I17" s="29">
        <v>0</v>
      </c>
      <c r="J17" s="2">
        <v>0</v>
      </c>
      <c r="K17" s="2">
        <v>0</v>
      </c>
      <c r="L17" s="2">
        <v>0</v>
      </c>
      <c r="M17" s="152" t="s">
        <v>407</v>
      </c>
      <c r="N17" s="2">
        <v>37</v>
      </c>
      <c r="O17" s="154" t="s">
        <v>408</v>
      </c>
    </row>
    <row r="18" spans="1:15" ht="29" x14ac:dyDescent="0.35">
      <c r="A18" s="2">
        <v>16</v>
      </c>
      <c r="B18" s="152" t="s">
        <v>409</v>
      </c>
      <c r="C18" s="152" t="s">
        <v>410</v>
      </c>
      <c r="D18" s="2">
        <v>1</v>
      </c>
      <c r="E18" s="2">
        <v>0</v>
      </c>
      <c r="F18" s="152" t="s">
        <v>411</v>
      </c>
      <c r="G18" s="2">
        <v>629</v>
      </c>
      <c r="H18" s="2"/>
      <c r="I18" s="2">
        <v>1</v>
      </c>
      <c r="J18" s="2">
        <v>0</v>
      </c>
      <c r="K18" s="2">
        <v>0</v>
      </c>
      <c r="L18" s="2">
        <v>0</v>
      </c>
      <c r="M18" s="152" t="s">
        <v>411</v>
      </c>
      <c r="N18" s="197" t="s">
        <v>412</v>
      </c>
      <c r="O18" s="152"/>
    </row>
    <row r="19" spans="1:15" ht="29" x14ac:dyDescent="0.35">
      <c r="A19" s="2">
        <v>17</v>
      </c>
      <c r="B19" s="152" t="s">
        <v>413</v>
      </c>
      <c r="C19" s="152" t="s">
        <v>410</v>
      </c>
      <c r="D19" s="2">
        <v>1</v>
      </c>
      <c r="E19" s="2">
        <v>0</v>
      </c>
      <c r="F19" s="152" t="s">
        <v>414</v>
      </c>
      <c r="G19" s="2">
        <v>634</v>
      </c>
      <c r="H19" s="2"/>
      <c r="I19" s="2">
        <v>1</v>
      </c>
      <c r="J19" s="2">
        <v>0</v>
      </c>
      <c r="K19" s="2">
        <v>0</v>
      </c>
      <c r="L19" s="2">
        <v>0</v>
      </c>
      <c r="M19" s="152" t="s">
        <v>414</v>
      </c>
      <c r="N19" s="197" t="s">
        <v>415</v>
      </c>
      <c r="O19" s="152"/>
    </row>
    <row r="20" spans="1:15" ht="14.5" x14ac:dyDescent="0.35">
      <c r="A20" s="2">
        <v>18</v>
      </c>
      <c r="B20" s="153" t="s">
        <v>416</v>
      </c>
      <c r="C20" s="152" t="s">
        <v>375</v>
      </c>
      <c r="D20" s="2">
        <v>1</v>
      </c>
      <c r="E20" s="2">
        <v>0</v>
      </c>
      <c r="F20" s="152" t="s">
        <v>417</v>
      </c>
      <c r="G20" s="2">
        <v>637</v>
      </c>
      <c r="H20" s="2"/>
      <c r="I20" s="2">
        <v>1</v>
      </c>
      <c r="J20" s="2">
        <v>0</v>
      </c>
      <c r="K20" s="2">
        <v>0</v>
      </c>
      <c r="L20" s="2">
        <v>0</v>
      </c>
      <c r="M20" s="152" t="s">
        <v>417</v>
      </c>
      <c r="N20" s="2">
        <v>44</v>
      </c>
      <c r="O20" s="152"/>
    </row>
    <row r="21" spans="1:15" ht="14.5" x14ac:dyDescent="0.35">
      <c r="A21" s="2"/>
      <c r="B21" s="152"/>
      <c r="C21" s="152"/>
      <c r="D21" s="2"/>
      <c r="E21" s="2"/>
      <c r="F21" s="152"/>
      <c r="G21" s="2"/>
      <c r="H21" s="2"/>
      <c r="I21" s="2"/>
      <c r="J21" s="2"/>
      <c r="K21" s="2"/>
      <c r="L21" s="152"/>
      <c r="M21" s="152"/>
      <c r="N21" s="152"/>
      <c r="O21" s="152"/>
    </row>
    <row r="22" spans="1:15" ht="72.5" x14ac:dyDescent="0.35">
      <c r="A22" s="2" t="s">
        <v>418</v>
      </c>
      <c r="B22" s="154" t="s">
        <v>419</v>
      </c>
      <c r="C22" s="152"/>
      <c r="D22" s="2"/>
      <c r="E22" s="2"/>
      <c r="F22" s="152"/>
      <c r="G22" s="2"/>
      <c r="H22" s="2"/>
      <c r="I22" s="2"/>
      <c r="J22" s="2"/>
      <c r="K22" s="2"/>
      <c r="L22" s="152"/>
      <c r="M22" s="152"/>
      <c r="N22" s="152"/>
      <c r="O22" s="152"/>
    </row>
    <row r="23" spans="1:15" ht="101.5" x14ac:dyDescent="0.35">
      <c r="A23" s="2" t="s">
        <v>420</v>
      </c>
      <c r="B23" s="154" t="s">
        <v>421</v>
      </c>
      <c r="C23" s="152"/>
      <c r="D23" s="2"/>
      <c r="E23" s="2"/>
      <c r="F23" s="152"/>
      <c r="G23" s="2"/>
      <c r="H23" s="2"/>
      <c r="I23" s="2"/>
      <c r="J23" s="2"/>
      <c r="K23" s="2"/>
      <c r="L23" s="152"/>
      <c r="M23" s="152"/>
      <c r="N23" s="152"/>
      <c r="O23" s="152"/>
    </row>
    <row r="24" spans="1:15" ht="43.5" x14ac:dyDescent="0.35">
      <c r="A24" s="2" t="s">
        <v>422</v>
      </c>
      <c r="B24" s="155" t="s">
        <v>423</v>
      </c>
      <c r="C24" s="152"/>
      <c r="D24" s="2"/>
      <c r="E24" s="2"/>
      <c r="F24" s="152"/>
      <c r="G24" s="2"/>
      <c r="H24" s="2"/>
      <c r="I24" s="2"/>
      <c r="J24" s="2"/>
      <c r="K24" s="2"/>
      <c r="L24" s="152"/>
      <c r="M24" s="152"/>
      <c r="N24" s="152"/>
      <c r="O24" s="152"/>
    </row>
    <row r="25" spans="1:15" ht="43.5" x14ac:dyDescent="0.35">
      <c r="A25" s="2" t="s">
        <v>424</v>
      </c>
      <c r="B25" s="155" t="s">
        <v>425</v>
      </c>
      <c r="C25" s="152"/>
      <c r="D25" s="2"/>
      <c r="E25" s="2"/>
      <c r="F25" s="152"/>
      <c r="G25" s="2"/>
      <c r="H25" s="2"/>
      <c r="I25" s="2"/>
      <c r="J25" s="2"/>
      <c r="K25" s="2"/>
      <c r="L25" s="152"/>
      <c r="M25" s="152"/>
      <c r="N25" s="152"/>
      <c r="O25" s="152"/>
    </row>
    <row r="26" spans="1:15" ht="58" x14ac:dyDescent="0.35">
      <c r="A26" s="2" t="s">
        <v>426</v>
      </c>
      <c r="B26" s="154" t="s">
        <v>427</v>
      </c>
      <c r="C26" s="152"/>
      <c r="D26" s="2" t="s">
        <v>244</v>
      </c>
      <c r="E26" s="2"/>
      <c r="F26" s="152" t="s">
        <v>428</v>
      </c>
      <c r="G26" s="2">
        <v>642</v>
      </c>
      <c r="H26" s="2"/>
      <c r="I26" s="2"/>
      <c r="J26" s="2"/>
      <c r="K26" s="2"/>
      <c r="L26" s="152"/>
      <c r="M26" s="152"/>
      <c r="N26" s="152"/>
      <c r="O26" s="152"/>
    </row>
    <row r="27" spans="1:15" ht="58" x14ac:dyDescent="0.35">
      <c r="A27" s="2" t="s">
        <v>429</v>
      </c>
      <c r="B27" s="154" t="s">
        <v>430</v>
      </c>
      <c r="C27" s="152"/>
      <c r="D27" s="2" t="s">
        <v>244</v>
      </c>
      <c r="E27" s="2"/>
      <c r="F27" s="152" t="s">
        <v>414</v>
      </c>
      <c r="G27" s="2">
        <v>640</v>
      </c>
      <c r="H27" s="2"/>
      <c r="I27" s="2"/>
      <c r="J27" s="2"/>
      <c r="K27" s="2"/>
      <c r="L27" s="152"/>
      <c r="M27" s="152"/>
      <c r="N27" s="152"/>
      <c r="O27" s="152"/>
    </row>
    <row r="28" spans="1:15" ht="29" x14ac:dyDescent="0.35">
      <c r="A28" s="2" t="s">
        <v>431</v>
      </c>
      <c r="B28" s="154" t="s">
        <v>432</v>
      </c>
      <c r="C28" s="152"/>
      <c r="D28" s="2" t="s">
        <v>244</v>
      </c>
      <c r="E28" s="2"/>
      <c r="F28" s="152"/>
      <c r="G28" s="2"/>
      <c r="H28" s="2"/>
      <c r="I28" s="2"/>
      <c r="J28" s="2"/>
      <c r="K28" s="2"/>
      <c r="L28" s="152"/>
      <c r="M28" s="152"/>
      <c r="N28" s="152"/>
      <c r="O28" s="152"/>
    </row>
  </sheetData>
  <sheetProtection algorithmName="SHA-512" hashValue="5AdnBGaxnI3yxE19CguYS0q8+35j/IbB/6ur5BqveNJWpcnQSkHb6tzEZ7rG7gAt4VsIelCCK1ykrwqVXLZk3w==" saltValue="Ge9uj8eGg+SN1k2ceFOJFA==" spinCount="100000" sheet="1" objects="1" scenarios="1"/>
  <mergeCells count="2">
    <mergeCell ref="D1:H1"/>
    <mergeCell ref="I1:O1"/>
  </mergeCells>
  <phoneticPr fontId="2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41B71-F0F5-4C56-AB05-25767EC26FC9}">
  <dimension ref="A1:G14"/>
  <sheetViews>
    <sheetView workbookViewId="0">
      <selection activeCell="E5" sqref="E5"/>
    </sheetView>
  </sheetViews>
  <sheetFormatPr baseColWidth="10" defaultColWidth="11.453125" defaultRowHeight="14.5" x14ac:dyDescent="0.35"/>
  <cols>
    <col min="1" max="1" width="27.81640625" customWidth="1"/>
    <col min="2" max="6" width="18.54296875" customWidth="1"/>
    <col min="7" max="7" width="20" customWidth="1"/>
  </cols>
  <sheetData>
    <row r="1" spans="1:7" s="23" customFormat="1" x14ac:dyDescent="0.35"/>
    <row r="2" spans="1:7" s="23" customFormat="1" ht="29" x14ac:dyDescent="0.35">
      <c r="A2" s="254" t="s">
        <v>585</v>
      </c>
      <c r="B2" s="13" t="s">
        <v>577</v>
      </c>
      <c r="C2" s="13" t="s">
        <v>578</v>
      </c>
      <c r="D2" s="13" t="s">
        <v>579</v>
      </c>
      <c r="E2" s="13" t="s">
        <v>580</v>
      </c>
      <c r="F2" s="13" t="s">
        <v>581</v>
      </c>
      <c r="G2" s="13" t="s">
        <v>582</v>
      </c>
    </row>
    <row r="3" spans="1:7" s="23" customFormat="1" x14ac:dyDescent="0.35">
      <c r="A3" s="254"/>
      <c r="B3" s="57" t="s">
        <v>583</v>
      </c>
      <c r="C3" s="57" t="s">
        <v>584</v>
      </c>
      <c r="D3" s="57" t="s">
        <v>583</v>
      </c>
      <c r="E3" s="57" t="s">
        <v>583</v>
      </c>
      <c r="F3" s="57" t="s">
        <v>583</v>
      </c>
      <c r="G3" s="57" t="s">
        <v>583</v>
      </c>
    </row>
    <row r="4" spans="1:7" s="23" customFormat="1" x14ac:dyDescent="0.35">
      <c r="A4" s="254"/>
      <c r="B4" s="87">
        <v>1.8</v>
      </c>
      <c r="C4" s="57">
        <v>0.75</v>
      </c>
      <c r="D4" s="88">
        <v>2</v>
      </c>
      <c r="E4" s="57">
        <v>7.0000000000000007E-2</v>
      </c>
      <c r="F4" s="57">
        <v>0.05</v>
      </c>
      <c r="G4" s="86">
        <v>70000000000</v>
      </c>
    </row>
    <row r="5" spans="1:7" x14ac:dyDescent="0.35">
      <c r="A5" s="59"/>
      <c r="B5" s="57">
        <v>3.28</v>
      </c>
      <c r="C5" s="87">
        <v>0.4</v>
      </c>
      <c r="D5" s="57">
        <v>2.89</v>
      </c>
      <c r="E5" s="57">
        <v>0.09</v>
      </c>
      <c r="F5" s="57">
        <v>0.05</v>
      </c>
      <c r="G5" s="86">
        <v>90311331030</v>
      </c>
    </row>
    <row r="6" spans="1:7" x14ac:dyDescent="0.35">
      <c r="A6" s="3"/>
      <c r="B6" s="3" t="b">
        <f>B5&gt;=B4</f>
        <v>1</v>
      </c>
      <c r="C6" s="3" t="b">
        <f>C5&lt;=C4</f>
        <v>1</v>
      </c>
      <c r="D6" s="3" t="b">
        <f>D5&gt;=D4</f>
        <v>1</v>
      </c>
      <c r="E6" s="3" t="b">
        <f>E5&gt;=E4</f>
        <v>1</v>
      </c>
      <c r="F6" s="3" t="b">
        <f>F5&gt;=F4</f>
        <v>1</v>
      </c>
      <c r="G6" s="3" t="b">
        <f>G5&gt;=G4</f>
        <v>1</v>
      </c>
    </row>
    <row r="10" spans="1:7" ht="29" x14ac:dyDescent="0.35">
      <c r="A10" s="254" t="s">
        <v>586</v>
      </c>
      <c r="B10" s="13" t="s">
        <v>577</v>
      </c>
      <c r="C10" s="13" t="s">
        <v>578</v>
      </c>
      <c r="D10" s="13" t="s">
        <v>579</v>
      </c>
      <c r="E10" s="13" t="s">
        <v>580</v>
      </c>
      <c r="F10" s="13" t="s">
        <v>581</v>
      </c>
      <c r="G10" s="13" t="s">
        <v>582</v>
      </c>
    </row>
    <row r="11" spans="1:7" x14ac:dyDescent="0.35">
      <c r="A11" s="254"/>
      <c r="B11" s="57" t="s">
        <v>583</v>
      </c>
      <c r="C11" s="57" t="s">
        <v>584</v>
      </c>
      <c r="D11" s="57" t="s">
        <v>583</v>
      </c>
      <c r="E11" s="57" t="s">
        <v>583</v>
      </c>
      <c r="F11" s="57" t="s">
        <v>583</v>
      </c>
      <c r="G11" s="57" t="s">
        <v>583</v>
      </c>
    </row>
    <row r="12" spans="1:7" x14ac:dyDescent="0.35">
      <c r="A12" s="254"/>
      <c r="B12" s="87">
        <v>1.8</v>
      </c>
      <c r="C12" s="57">
        <v>0.75</v>
      </c>
      <c r="D12" s="88">
        <v>2</v>
      </c>
      <c r="E12" s="57">
        <v>7.0000000000000007E-2</v>
      </c>
      <c r="F12" s="57">
        <v>0.05</v>
      </c>
      <c r="G12" s="86">
        <v>70000000000</v>
      </c>
    </row>
    <row r="13" spans="1:7" x14ac:dyDescent="0.35">
      <c r="A13" s="59"/>
      <c r="B13" s="57">
        <v>3.51</v>
      </c>
      <c r="C13" s="57">
        <v>0.37</v>
      </c>
      <c r="D13" s="57">
        <v>7.39</v>
      </c>
      <c r="E13" s="57">
        <v>0.09</v>
      </c>
      <c r="F13" s="57">
        <v>0.06</v>
      </c>
      <c r="G13" s="86">
        <v>75834988874</v>
      </c>
    </row>
    <row r="14" spans="1:7" x14ac:dyDescent="0.35">
      <c r="A14" s="3"/>
      <c r="B14" s="3" t="b">
        <f>B13&gt;=B12</f>
        <v>1</v>
      </c>
      <c r="C14" s="3" t="b">
        <f>C13&lt;=C12</f>
        <v>1</v>
      </c>
      <c r="D14" s="3" t="b">
        <f>D13&gt;=D12</f>
        <v>1</v>
      </c>
      <c r="E14" s="3" t="b">
        <f>E13&gt;=E12</f>
        <v>1</v>
      </c>
      <c r="F14" s="3" t="b">
        <f>F13&gt;=F12</f>
        <v>1</v>
      </c>
      <c r="G14" s="3" t="b">
        <f>G13&gt;=G12</f>
        <v>1</v>
      </c>
    </row>
  </sheetData>
  <sheetProtection algorithmName="SHA-512" hashValue="ixLtKBAHKhr8BPVMKNwXswoxmeO7M6fy8ikrQLRG/3U04nR7p2NwoXw3eagvvj0FHNVPySfTM2cocGfW6hgyXA==" saltValue="wEYdUWW+2kEkWTnNYZsg7g==" spinCount="100000" sheet="1" objects="1" scenarios="1"/>
  <mergeCells count="2">
    <mergeCell ref="A2:A4"/>
    <mergeCell ref="A10:A1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77E8E-CDE5-40EE-A8B8-A2646A3DB4CC}">
  <dimension ref="A2:F9"/>
  <sheetViews>
    <sheetView zoomScale="85" zoomScaleNormal="85" workbookViewId="0">
      <selection activeCell="J15" sqref="J15"/>
    </sheetView>
  </sheetViews>
  <sheetFormatPr baseColWidth="10" defaultColWidth="11.453125" defaultRowHeight="14.5" x14ac:dyDescent="0.35"/>
  <cols>
    <col min="1" max="1" width="38.54296875" customWidth="1"/>
    <col min="2" max="2" width="30.1796875" hidden="1" customWidth="1"/>
    <col min="3" max="3" width="4" hidden="1" customWidth="1"/>
    <col min="4" max="4" width="27.81640625" hidden="1" customWidth="1"/>
    <col min="5" max="6" width="27.81640625" customWidth="1"/>
  </cols>
  <sheetData>
    <row r="2" spans="1:6" ht="29" x14ac:dyDescent="0.35">
      <c r="A2" s="31" t="s">
        <v>433</v>
      </c>
      <c r="B2" s="31" t="s">
        <v>434</v>
      </c>
      <c r="D2" s="13" t="s">
        <v>227</v>
      </c>
      <c r="E2" s="13" t="s">
        <v>229</v>
      </c>
      <c r="F2" s="13" t="s">
        <v>230</v>
      </c>
    </row>
    <row r="3" spans="1:6" x14ac:dyDescent="0.35">
      <c r="A3" s="32" t="s">
        <v>435</v>
      </c>
      <c r="B3" s="33">
        <v>535</v>
      </c>
      <c r="D3" s="34" t="e">
        <f>'Factor técnico'!#REF!</f>
        <v>#REF!</v>
      </c>
      <c r="E3" s="74">
        <f>'Factor técnico'!D22</f>
        <v>510</v>
      </c>
      <c r="F3" s="74">
        <f>'Factor técnico'!G22</f>
        <v>353</v>
      </c>
    </row>
    <row r="4" spans="1:6" x14ac:dyDescent="0.35">
      <c r="A4" s="32" t="s">
        <v>436</v>
      </c>
      <c r="B4" s="73">
        <v>353</v>
      </c>
      <c r="D4" s="74">
        <f>Precio!B21</f>
        <v>0</v>
      </c>
      <c r="E4" s="74">
        <f>Precio!C21</f>
        <v>352.13368710073411</v>
      </c>
      <c r="F4" s="74">
        <f>Precio!D21</f>
        <v>353</v>
      </c>
    </row>
    <row r="5" spans="1:6" x14ac:dyDescent="0.35">
      <c r="A5" s="32" t="s">
        <v>437</v>
      </c>
      <c r="B5" s="33">
        <v>100</v>
      </c>
      <c r="D5" s="2" t="e">
        <f>+'Estímulo-Discap-Empren'!#REF!</f>
        <v>#REF!</v>
      </c>
      <c r="E5" s="2">
        <f>'Estímulo-Discap-Empren'!E4</f>
        <v>100</v>
      </c>
      <c r="F5" s="2">
        <f>'Estímulo-Discap-Empren'!H4</f>
        <v>100</v>
      </c>
    </row>
    <row r="6" spans="1:6" x14ac:dyDescent="0.35">
      <c r="A6" s="32" t="s">
        <v>438</v>
      </c>
      <c r="B6" s="33">
        <v>10</v>
      </c>
      <c r="D6" s="2" t="e">
        <f>+'Estímulo-Discap-Empren'!#REF!</f>
        <v>#REF!</v>
      </c>
      <c r="E6" s="2">
        <f>'Estímulo-Discap-Empren'!E5</f>
        <v>10</v>
      </c>
      <c r="F6" s="2">
        <f>'Estímulo-Discap-Empren'!H5</f>
        <v>10</v>
      </c>
    </row>
    <row r="7" spans="1:6" x14ac:dyDescent="0.35">
      <c r="A7" s="32" t="s">
        <v>439</v>
      </c>
      <c r="B7" s="33">
        <v>2</v>
      </c>
      <c r="D7" s="2" t="e">
        <f>+'Estímulo-Discap-Empren'!#REF!</f>
        <v>#REF!</v>
      </c>
      <c r="E7" s="2">
        <f>'Estímulo-Discap-Empren'!E6</f>
        <v>2</v>
      </c>
      <c r="F7" s="2">
        <f>'Estímulo-Discap-Empren'!H6</f>
        <v>2</v>
      </c>
    </row>
    <row r="8" spans="1:6" x14ac:dyDescent="0.35">
      <c r="A8" s="35" t="s">
        <v>440</v>
      </c>
      <c r="B8" s="31">
        <f>B3+B4+B5+B6+B7</f>
        <v>1000</v>
      </c>
      <c r="C8" s="36"/>
      <c r="D8" s="37" t="e">
        <f>D3+D4+D5+D6+D7</f>
        <v>#REF!</v>
      </c>
      <c r="E8" s="156">
        <f>E3+E4+E5+E6+E7</f>
        <v>974.13368710073405</v>
      </c>
      <c r="F8" s="156">
        <f>F3+F4+F5+F6+F7</f>
        <v>818</v>
      </c>
    </row>
    <row r="9" spans="1:6" x14ac:dyDescent="0.35">
      <c r="B9" s="38" t="e">
        <f>MAX(D8:F8)</f>
        <v>#REF!</v>
      </c>
    </row>
  </sheetData>
  <sheetProtection algorithmName="SHA-512" hashValue="rhjO05ZoRmthZ+4t8oI7oQQVt0RbJuWMCooIhtQm1iaieHXBumQwp93H409g6Z2KVzDdVi84Ga7sefaFutjAQQ==" saltValue="13tNkEjYlKL/pLS7fznSig==" spinCount="100000" sheet="1" objects="1" scenarios="1"/>
  <phoneticPr fontId="25" type="noConversion"/>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A6A97-48E8-4E73-9433-97D31C5CA4B0}">
  <dimension ref="A1:I28"/>
  <sheetViews>
    <sheetView zoomScale="85" zoomScaleNormal="85" workbookViewId="0">
      <selection activeCell="C4" sqref="C4"/>
    </sheetView>
  </sheetViews>
  <sheetFormatPr baseColWidth="10" defaultColWidth="11.453125" defaultRowHeight="15" customHeight="1" x14ac:dyDescent="0.35"/>
  <cols>
    <col min="1" max="1" width="9.54296875" customWidth="1"/>
    <col min="2" max="4" width="30.1796875" customWidth="1"/>
    <col min="5" max="5" width="21" hidden="1" customWidth="1"/>
    <col min="6" max="7" width="19.453125" hidden="1" customWidth="1"/>
    <col min="8" max="9" width="11.453125" hidden="1" customWidth="1"/>
    <col min="10" max="10" width="0" hidden="1" customWidth="1"/>
  </cols>
  <sheetData>
    <row r="1" spans="1:8" ht="14.5" x14ac:dyDescent="0.35">
      <c r="B1" s="45"/>
      <c r="C1" s="46"/>
      <c r="D1" s="46"/>
    </row>
    <row r="2" spans="1:8" ht="29" x14ac:dyDescent="0.35">
      <c r="B2" s="13" t="s">
        <v>227</v>
      </c>
      <c r="C2" s="13" t="s">
        <v>229</v>
      </c>
      <c r="D2" s="13" t="s">
        <v>230</v>
      </c>
      <c r="E2" s="39" t="s">
        <v>441</v>
      </c>
      <c r="F2" s="100"/>
      <c r="G2" s="257"/>
      <c r="H2" s="257"/>
    </row>
    <row r="3" spans="1:8" ht="14.5" x14ac:dyDescent="0.35">
      <c r="B3" s="41">
        <v>234241011864</v>
      </c>
      <c r="C3" s="41">
        <f>233932237645</f>
        <v>233932237645</v>
      </c>
      <c r="D3" s="41">
        <f>233358134203</f>
        <v>233358134203</v>
      </c>
      <c r="E3" s="42">
        <f>F3+G3</f>
        <v>233986523216</v>
      </c>
      <c r="F3" s="42">
        <v>180996349096</v>
      </c>
      <c r="G3" s="42">
        <v>52990174120</v>
      </c>
      <c r="H3" s="42"/>
    </row>
    <row r="4" spans="1:8" ht="14.5" x14ac:dyDescent="0.35">
      <c r="A4" s="115" t="s">
        <v>442</v>
      </c>
      <c r="B4" s="114" t="b">
        <f>B3&lt;$E$3</f>
        <v>0</v>
      </c>
      <c r="C4" s="41" t="b">
        <f>C3&lt;$E$3</f>
        <v>1</v>
      </c>
      <c r="D4" s="41" t="b">
        <f>D3&lt;$E$3</f>
        <v>1</v>
      </c>
      <c r="E4" s="113"/>
    </row>
    <row r="5" spans="1:8" ht="14.5" x14ac:dyDescent="0.35">
      <c r="A5" s="115" t="s">
        <v>443</v>
      </c>
      <c r="B5" s="114" t="b">
        <f>B3&gt;$E$5</f>
        <v>1</v>
      </c>
      <c r="C5" s="41" t="b">
        <f>C3&gt;$E$5</f>
        <v>1</v>
      </c>
      <c r="D5" s="41" t="b">
        <f>D3&gt;$E$5</f>
        <v>1</v>
      </c>
      <c r="E5" s="113">
        <f>E3-E3*5%</f>
        <v>222287197055.20001</v>
      </c>
    </row>
    <row r="6" spans="1:8" ht="14.5" x14ac:dyDescent="0.35">
      <c r="B6" s="43">
        <f>$E$3-B3</f>
        <v>-254488648</v>
      </c>
      <c r="C6" s="43">
        <f>$E$3-C3</f>
        <v>54285571</v>
      </c>
      <c r="D6" s="43">
        <f>$E$3-D3</f>
        <v>628389013</v>
      </c>
      <c r="E6" s="44"/>
    </row>
    <row r="7" spans="1:8" ht="14.5" x14ac:dyDescent="0.35">
      <c r="B7" s="122">
        <f>B6/E3</f>
        <v>-1.0876209642427734E-3</v>
      </c>
      <c r="C7" s="122">
        <f>C6/E3</f>
        <v>2.3200298142764126E-4</v>
      </c>
      <c r="D7" s="122">
        <f>D6/E3</f>
        <v>2.6855778032135432E-3</v>
      </c>
      <c r="E7" s="44"/>
    </row>
    <row r="8" spans="1:8" ht="14.5" x14ac:dyDescent="0.35">
      <c r="C8" s="47"/>
      <c r="D8" s="47"/>
    </row>
    <row r="11" spans="1:8" ht="14.5" x14ac:dyDescent="0.35">
      <c r="A11" s="7">
        <v>1</v>
      </c>
      <c r="B11" s="255" t="s">
        <v>444</v>
      </c>
      <c r="C11" s="256"/>
      <c r="D11" s="256"/>
    </row>
    <row r="12" spans="1:8" ht="14.5" x14ac:dyDescent="0.35">
      <c r="A12" s="1"/>
      <c r="B12" s="84">
        <f t="shared" ref="B12:D12" si="0">B3</f>
        <v>234241011864</v>
      </c>
      <c r="C12" s="84">
        <f t="shared" si="0"/>
        <v>233932237645</v>
      </c>
      <c r="D12" s="84">
        <f t="shared" si="0"/>
        <v>233358134203</v>
      </c>
    </row>
    <row r="13" spans="1:8" ht="14.5" x14ac:dyDescent="0.35">
      <c r="A13" s="1" t="s">
        <v>445</v>
      </c>
      <c r="B13" s="116">
        <v>353</v>
      </c>
      <c r="C13" s="116">
        <v>353</v>
      </c>
      <c r="D13" s="116">
        <v>353</v>
      </c>
    </row>
    <row r="15" spans="1:8" ht="14.5" x14ac:dyDescent="0.35">
      <c r="A15" s="48" t="s">
        <v>446</v>
      </c>
      <c r="B15" s="50">
        <v>0</v>
      </c>
      <c r="C15" s="50">
        <f>C13*MIN($C$3:$D$3)/C12</f>
        <v>352.13368710073411</v>
      </c>
      <c r="D15" s="50">
        <f>D13*MIN($C$3:$D$3)/D12</f>
        <v>353</v>
      </c>
    </row>
    <row r="17" spans="1:4" ht="15" hidden="1" customHeight="1" x14ac:dyDescent="0.35"/>
    <row r="18" spans="1:4" ht="15" hidden="1" customHeight="1" x14ac:dyDescent="0.35"/>
    <row r="19" spans="1:4" ht="15" hidden="1" customHeight="1" x14ac:dyDescent="0.35"/>
    <row r="20" spans="1:4" ht="15" hidden="1" customHeight="1" x14ac:dyDescent="0.35"/>
    <row r="21" spans="1:4" ht="14.5" hidden="1" x14ac:dyDescent="0.35">
      <c r="A21" s="1" t="s">
        <v>446</v>
      </c>
      <c r="B21" s="50">
        <f>B15</f>
        <v>0</v>
      </c>
      <c r="C21" s="50">
        <f>C15</f>
        <v>352.13368710073411</v>
      </c>
      <c r="D21" s="50">
        <f>D15</f>
        <v>353</v>
      </c>
    </row>
    <row r="22" spans="1:4" ht="14.5" x14ac:dyDescent="0.35">
      <c r="C22" s="47"/>
      <c r="D22" s="47"/>
    </row>
    <row r="25" spans="1:4" ht="14.5" x14ac:dyDescent="0.35"/>
    <row r="26" spans="1:4" ht="14.5" x14ac:dyDescent="0.35">
      <c r="B26" s="78"/>
    </row>
    <row r="27" spans="1:4" ht="14.5" x14ac:dyDescent="0.35">
      <c r="B27" s="78"/>
    </row>
    <row r="28" spans="1:4" ht="15" customHeight="1" x14ac:dyDescent="0.35">
      <c r="B28" s="78"/>
    </row>
  </sheetData>
  <sheetProtection algorithmName="SHA-512" hashValue="4J/yHHFqhmQe1/a38hF8dO9oeNTs5C4ULioAR34haAcI6eIuu75dPjguOyrXrM4c4gYjfwNfNEMHtQdnJdtjiA==" saltValue="xsfujooJQMuets67FGbvgw==" spinCount="100000" sheet="1" objects="1" scenarios="1"/>
  <mergeCells count="2">
    <mergeCell ref="B11:D11"/>
    <mergeCell ref="G2:H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28"/>
  <sheetViews>
    <sheetView topLeftCell="A9" zoomScale="85" zoomScaleNormal="85" workbookViewId="0">
      <selection activeCell="I8" sqref="I8"/>
    </sheetView>
  </sheetViews>
  <sheetFormatPr baseColWidth="10" defaultColWidth="11.453125" defaultRowHeight="15" customHeight="1" x14ac:dyDescent="0.35"/>
  <cols>
    <col min="1" max="1" width="8.1796875" customWidth="1"/>
    <col min="2" max="2" width="56.453125" customWidth="1"/>
    <col min="3" max="3" width="17.81640625" customWidth="1"/>
    <col min="4" max="5" width="24" style="8" customWidth="1"/>
    <col min="6" max="6" width="26.7265625" style="8" customWidth="1"/>
    <col min="7" max="8" width="24" style="8" customWidth="1"/>
    <col min="9" max="9" width="28.1796875" customWidth="1"/>
    <col min="10" max="10" width="25.453125" customWidth="1"/>
    <col min="11" max="11" width="61.1796875" customWidth="1"/>
  </cols>
  <sheetData>
    <row r="2" spans="1:10" ht="15.5" x14ac:dyDescent="0.35">
      <c r="A2" s="258" t="s">
        <v>589</v>
      </c>
      <c r="B2" s="258"/>
      <c r="C2" s="258"/>
    </row>
    <row r="3" spans="1:10" ht="29" x14ac:dyDescent="0.35">
      <c r="A3" s="11" t="s">
        <v>231</v>
      </c>
      <c r="B3" s="12" t="s">
        <v>588</v>
      </c>
      <c r="C3" s="13" t="s">
        <v>447</v>
      </c>
      <c r="D3" s="14" t="s">
        <v>229</v>
      </c>
      <c r="E3" s="14" t="s">
        <v>448</v>
      </c>
      <c r="F3" s="14" t="s">
        <v>449</v>
      </c>
      <c r="G3" s="14" t="s">
        <v>230</v>
      </c>
      <c r="H3" s="118" t="s">
        <v>450</v>
      </c>
      <c r="I3" s="14" t="s">
        <v>451</v>
      </c>
    </row>
    <row r="4" spans="1:10" s="26" customFormat="1" ht="47.5" customHeight="1" x14ac:dyDescent="0.35">
      <c r="A4" s="10" t="s">
        <v>452</v>
      </c>
      <c r="B4" s="60" t="s">
        <v>453</v>
      </c>
      <c r="C4" s="62">
        <v>80</v>
      </c>
      <c r="D4" s="63">
        <v>80</v>
      </c>
      <c r="E4" s="8" t="s">
        <v>454</v>
      </c>
      <c r="F4" s="8"/>
      <c r="G4" s="63">
        <v>80</v>
      </c>
      <c r="H4" s="119" t="s">
        <v>455</v>
      </c>
      <c r="I4" s="8"/>
      <c r="J4" s="82"/>
    </row>
    <row r="5" spans="1:10" s="26" customFormat="1" ht="31.5" x14ac:dyDescent="0.35">
      <c r="A5" s="10" t="s">
        <v>456</v>
      </c>
      <c r="B5" s="60" t="s">
        <v>457</v>
      </c>
      <c r="C5" s="62">
        <v>30</v>
      </c>
      <c r="D5" s="63">
        <v>30</v>
      </c>
      <c r="E5" s="8" t="s">
        <v>458</v>
      </c>
      <c r="F5" s="8"/>
      <c r="G5" s="63">
        <v>30</v>
      </c>
      <c r="H5" s="120" t="s">
        <v>459</v>
      </c>
      <c r="I5" s="8"/>
      <c r="J5" s="82"/>
    </row>
    <row r="6" spans="1:10" s="26" customFormat="1" ht="31.5" x14ac:dyDescent="0.35">
      <c r="A6" s="10" t="s">
        <v>460</v>
      </c>
      <c r="B6" s="60" t="s">
        <v>461</v>
      </c>
      <c r="C6" s="62">
        <v>50</v>
      </c>
      <c r="D6" s="63">
        <v>50</v>
      </c>
      <c r="E6" s="8" t="s">
        <v>462</v>
      </c>
      <c r="F6" s="8"/>
      <c r="G6" s="63">
        <v>20</v>
      </c>
      <c r="H6" s="26" t="s">
        <v>463</v>
      </c>
      <c r="I6" s="8"/>
    </row>
    <row r="7" spans="1:10" s="26" customFormat="1" ht="29" x14ac:dyDescent="0.35">
      <c r="A7" s="10" t="s">
        <v>464</v>
      </c>
      <c r="B7" s="60" t="s">
        <v>465</v>
      </c>
      <c r="C7" s="62">
        <v>30</v>
      </c>
      <c r="D7" s="63">
        <v>30</v>
      </c>
      <c r="E7" s="8" t="s">
        <v>466</v>
      </c>
      <c r="F7" s="8"/>
      <c r="G7" s="63">
        <v>25</v>
      </c>
      <c r="H7" s="26" t="s">
        <v>467</v>
      </c>
      <c r="I7" s="8" t="s">
        <v>468</v>
      </c>
    </row>
    <row r="8" spans="1:10" s="26" customFormat="1" ht="21" x14ac:dyDescent="0.35">
      <c r="A8" s="10" t="s">
        <v>469</v>
      </c>
      <c r="B8" s="60" t="s">
        <v>470</v>
      </c>
      <c r="C8" s="62">
        <v>24</v>
      </c>
      <c r="D8" s="63">
        <v>24</v>
      </c>
      <c r="E8" s="8" t="s">
        <v>471</v>
      </c>
      <c r="F8" s="8"/>
      <c r="G8" s="63">
        <v>18</v>
      </c>
      <c r="H8" s="26" t="s">
        <v>472</v>
      </c>
      <c r="I8" s="8"/>
      <c r="J8" s="82"/>
    </row>
    <row r="9" spans="1:10" s="26" customFormat="1" ht="21" x14ac:dyDescent="0.35">
      <c r="A9" s="10" t="s">
        <v>473</v>
      </c>
      <c r="B9" s="60" t="s">
        <v>474</v>
      </c>
      <c r="C9" s="112">
        <v>12</v>
      </c>
      <c r="D9" s="63">
        <v>12</v>
      </c>
      <c r="E9" s="8" t="s">
        <v>475</v>
      </c>
      <c r="F9" s="8"/>
      <c r="G9" s="63">
        <v>3</v>
      </c>
      <c r="H9" s="26" t="s">
        <v>476</v>
      </c>
      <c r="I9" s="8"/>
      <c r="J9" s="82"/>
    </row>
    <row r="10" spans="1:10" s="26" customFormat="1" ht="34.75" customHeight="1" x14ac:dyDescent="0.35">
      <c r="A10" s="10" t="s">
        <v>477</v>
      </c>
      <c r="B10" s="60" t="s">
        <v>478</v>
      </c>
      <c r="C10" s="62">
        <v>30</v>
      </c>
      <c r="D10" s="63">
        <v>30</v>
      </c>
      <c r="E10" s="8" t="s">
        <v>479</v>
      </c>
      <c r="F10" s="8"/>
      <c r="G10" s="63">
        <v>30</v>
      </c>
      <c r="H10" s="26" t="s">
        <v>480</v>
      </c>
      <c r="I10" s="8"/>
    </row>
    <row r="11" spans="1:10" s="26" customFormat="1" ht="76.5" customHeight="1" x14ac:dyDescent="0.35">
      <c r="A11" s="10" t="s">
        <v>481</v>
      </c>
      <c r="B11" s="60" t="s">
        <v>482</v>
      </c>
      <c r="C11" s="62">
        <v>25</v>
      </c>
      <c r="D11" s="63">
        <v>25</v>
      </c>
      <c r="E11" s="8" t="s">
        <v>483</v>
      </c>
      <c r="F11" s="8"/>
      <c r="G11" s="63">
        <v>15</v>
      </c>
      <c r="H11" s="26" t="s">
        <v>484</v>
      </c>
      <c r="I11" s="8" t="s">
        <v>485</v>
      </c>
    </row>
    <row r="12" spans="1:10" s="26" customFormat="1" ht="42" x14ac:dyDescent="0.35">
      <c r="A12" s="10" t="s">
        <v>486</v>
      </c>
      <c r="B12" s="60" t="s">
        <v>487</v>
      </c>
      <c r="C12" s="62">
        <v>12</v>
      </c>
      <c r="D12" s="63">
        <v>12</v>
      </c>
      <c r="E12" s="8" t="s">
        <v>488</v>
      </c>
      <c r="F12" s="8"/>
      <c r="G12" s="63">
        <v>12</v>
      </c>
      <c r="H12" s="26" t="s">
        <v>489</v>
      </c>
      <c r="I12" s="8"/>
      <c r="J12" s="82"/>
    </row>
    <row r="13" spans="1:10" s="26" customFormat="1" ht="31.5" x14ac:dyDescent="0.35">
      <c r="A13" s="10" t="s">
        <v>490</v>
      </c>
      <c r="B13" s="60" t="s">
        <v>491</v>
      </c>
      <c r="C13" s="62">
        <v>12</v>
      </c>
      <c r="D13" s="63">
        <v>12</v>
      </c>
      <c r="E13" s="8" t="s">
        <v>492</v>
      </c>
      <c r="F13" s="8"/>
      <c r="G13" s="63">
        <v>3</v>
      </c>
      <c r="H13" s="26" t="s">
        <v>493</v>
      </c>
      <c r="I13" s="8"/>
    </row>
    <row r="14" spans="1:10" s="26" customFormat="1" ht="31.5" x14ac:dyDescent="0.35">
      <c r="A14" s="10" t="s">
        <v>494</v>
      </c>
      <c r="B14" s="60" t="s">
        <v>495</v>
      </c>
      <c r="C14" s="112">
        <v>50</v>
      </c>
      <c r="D14" s="63">
        <v>50</v>
      </c>
      <c r="E14" s="8" t="s">
        <v>496</v>
      </c>
      <c r="F14" s="8"/>
      <c r="G14" s="63">
        <v>50</v>
      </c>
      <c r="H14" s="26" t="s">
        <v>497</v>
      </c>
      <c r="I14" s="8"/>
      <c r="J14" s="82"/>
    </row>
    <row r="15" spans="1:10" s="26" customFormat="1" ht="42" x14ac:dyDescent="0.35">
      <c r="A15" s="10" t="s">
        <v>498</v>
      </c>
      <c r="B15" s="60" t="s">
        <v>499</v>
      </c>
      <c r="C15" s="62">
        <v>12</v>
      </c>
      <c r="D15" s="63">
        <v>12</v>
      </c>
      <c r="E15" s="8" t="s">
        <v>500</v>
      </c>
      <c r="F15" s="8"/>
      <c r="G15" s="63">
        <v>9</v>
      </c>
      <c r="H15" s="26" t="s">
        <v>501</v>
      </c>
      <c r="I15" s="8"/>
      <c r="J15" s="82"/>
    </row>
    <row r="16" spans="1:10" s="26" customFormat="1" ht="101.5" x14ac:dyDescent="0.35">
      <c r="A16" s="10" t="s">
        <v>502</v>
      </c>
      <c r="B16" s="60" t="s">
        <v>503</v>
      </c>
      <c r="C16" s="112">
        <v>55</v>
      </c>
      <c r="D16" s="63">
        <v>45</v>
      </c>
      <c r="E16" s="8" t="s">
        <v>504</v>
      </c>
      <c r="F16" s="8" t="s">
        <v>505</v>
      </c>
      <c r="G16" s="63">
        <v>40</v>
      </c>
      <c r="H16" s="26" t="s">
        <v>506</v>
      </c>
      <c r="I16" s="8" t="s">
        <v>507</v>
      </c>
      <c r="J16" s="82"/>
    </row>
    <row r="17" spans="1:11" s="26" customFormat="1" ht="31.5" x14ac:dyDescent="0.35">
      <c r="A17" s="10" t="s">
        <v>508</v>
      </c>
      <c r="B17" s="60" t="s">
        <v>509</v>
      </c>
      <c r="C17" s="62">
        <v>50</v>
      </c>
      <c r="D17" s="63">
        <v>50</v>
      </c>
      <c r="E17" s="8" t="s">
        <v>510</v>
      </c>
      <c r="F17" s="8"/>
      <c r="G17" s="63">
        <v>10</v>
      </c>
      <c r="H17" s="26" t="s">
        <v>511</v>
      </c>
      <c r="I17" s="8"/>
    </row>
    <row r="18" spans="1:11" s="26" customFormat="1" ht="104.25" customHeight="1" x14ac:dyDescent="0.35">
      <c r="A18" s="10" t="s">
        <v>512</v>
      </c>
      <c r="B18" s="60" t="s">
        <v>513</v>
      </c>
      <c r="C18" s="112">
        <v>33</v>
      </c>
      <c r="D18" s="63">
        <v>27</v>
      </c>
      <c r="E18" s="8" t="s">
        <v>514</v>
      </c>
      <c r="F18" s="8" t="s">
        <v>515</v>
      </c>
      <c r="G18" s="63">
        <v>0</v>
      </c>
      <c r="H18" s="26" t="s">
        <v>516</v>
      </c>
      <c r="I18" s="8" t="s">
        <v>517</v>
      </c>
      <c r="J18" s="82"/>
      <c r="K18" s="82"/>
    </row>
    <row r="19" spans="1:11" s="26" customFormat="1" ht="61.5" customHeight="1" x14ac:dyDescent="0.35">
      <c r="A19" s="10" t="s">
        <v>518</v>
      </c>
      <c r="B19" s="60" t="s">
        <v>519</v>
      </c>
      <c r="C19" s="62">
        <v>15</v>
      </c>
      <c r="D19" s="63">
        <v>9</v>
      </c>
      <c r="E19" s="8" t="s">
        <v>520</v>
      </c>
      <c r="F19" s="8" t="s">
        <v>521</v>
      </c>
      <c r="G19" s="63">
        <v>6</v>
      </c>
      <c r="H19" s="26" t="s">
        <v>522</v>
      </c>
      <c r="I19" s="8" t="s">
        <v>521</v>
      </c>
      <c r="J19" s="82"/>
    </row>
    <row r="20" spans="1:11" s="26" customFormat="1" ht="43.5" x14ac:dyDescent="0.35">
      <c r="A20" s="10" t="s">
        <v>523</v>
      </c>
      <c r="B20" s="61" t="s">
        <v>524</v>
      </c>
      <c r="C20" s="64">
        <v>15</v>
      </c>
      <c r="D20" s="63">
        <v>12</v>
      </c>
      <c r="E20" s="8" t="s">
        <v>525</v>
      </c>
      <c r="F20" s="8" t="s">
        <v>526</v>
      </c>
      <c r="G20" s="117">
        <v>2</v>
      </c>
      <c r="H20" s="26" t="s">
        <v>527</v>
      </c>
      <c r="I20" s="8" t="s">
        <v>528</v>
      </c>
    </row>
    <row r="21" spans="1:11" ht="15.5" x14ac:dyDescent="0.35">
      <c r="A21" s="19"/>
      <c r="C21" s="71">
        <f>SUM(C4:C20)</f>
        <v>535</v>
      </c>
      <c r="D21" s="7" t="str">
        <f>SUM(Tabla1[[#All],[UNION TEMPORAL GESTION INTEGRAL C5]])&amp;"/535"</f>
        <v>510/535</v>
      </c>
      <c r="E21" s="7"/>
      <c r="F21" s="7"/>
      <c r="G21" s="7" t="str">
        <f>SUM(Tabla1[UNON TEMPORAL SEGURIDAD VIPE 2025])&amp;"/535"</f>
        <v>353/535</v>
      </c>
      <c r="H21" s="7"/>
    </row>
    <row r="22" spans="1:11" ht="15.5" x14ac:dyDescent="0.35">
      <c r="A22" s="19"/>
      <c r="C22" s="5"/>
      <c r="D22" s="30">
        <f>SUM(Tabla1[UNION TEMPORAL GESTION INTEGRAL C5])</f>
        <v>510</v>
      </c>
      <c r="E22" s="30"/>
      <c r="F22" s="30"/>
      <c r="G22" s="30">
        <f>SUM(Tabla1[UNON TEMPORAL SEGURIDAD VIPE 2025])</f>
        <v>353</v>
      </c>
      <c r="H22" s="30"/>
    </row>
    <row r="23" spans="1:11" ht="15.5" hidden="1" x14ac:dyDescent="0.35">
      <c r="A23" s="19"/>
      <c r="C23" s="5"/>
      <c r="D23" s="14"/>
      <c r="E23" s="14"/>
      <c r="F23" s="14"/>
      <c r="G23" s="14"/>
      <c r="H23" s="99"/>
    </row>
    <row r="24" spans="1:11" ht="15.5" x14ac:dyDescent="0.35">
      <c r="A24" s="19"/>
      <c r="C24" s="5"/>
    </row>
    <row r="25" spans="1:11" ht="15.5" x14ac:dyDescent="0.35">
      <c r="A25" s="19">
        <v>2</v>
      </c>
      <c r="C25" s="5"/>
    </row>
    <row r="26" spans="1:11" ht="15.5" x14ac:dyDescent="0.35">
      <c r="A26" s="19"/>
      <c r="C26" s="5"/>
    </row>
    <row r="28" spans="1:11" ht="38.25" hidden="1" customHeight="1" x14ac:dyDescent="0.35">
      <c r="A28" s="259" t="s">
        <v>529</v>
      </c>
      <c r="B28" s="259"/>
      <c r="C28" s="28">
        <f>C21</f>
        <v>535</v>
      </c>
      <c r="D28" s="27">
        <f>D22</f>
        <v>510</v>
      </c>
      <c r="E28" s="27"/>
      <c r="F28" s="27"/>
      <c r="G28" s="27">
        <f>G22</f>
        <v>353</v>
      </c>
      <c r="H28" s="104"/>
    </row>
  </sheetData>
  <sheetProtection algorithmName="SHA-512" hashValue="79va6mhFCcfObTy6H+Q5+2eAsF4XE50GnKjmrVcBhv5ffVxAtZCPTX7w9GbLorkGnY4zYT+j+/d3vz/0SMaw7w==" saltValue="AdXgyXgF8GlKObGJpUXRwg==" spinCount="100000" sheet="1" objects="1" scenarios="1"/>
  <mergeCells count="2">
    <mergeCell ref="A2:C2"/>
    <mergeCell ref="A28:B28"/>
  </mergeCells>
  <phoneticPr fontId="25" type="noConversion"/>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7">
        <x14:dataValidation type="list" allowBlank="1" showInputMessage="1" showErrorMessage="1" xr:uid="{00000000-0002-0000-0200-000008000000}">
          <x14:formula1>
            <xm:f>Puntajes!$C$26:$G$26</xm:f>
          </x14:formula1>
          <xm:sqref>G12 D12</xm:sqref>
        </x14:dataValidation>
        <x14:dataValidation type="list" allowBlank="1" showInputMessage="1" showErrorMessage="1" xr:uid="{BB1DF047-71F6-4AA4-A67A-BD3F792C1770}">
          <x14:formula1>
            <xm:f>Puntajes!$C$50:$AG$50</xm:f>
          </x14:formula1>
          <xm:sqref>G20 D20</xm:sqref>
        </x14:dataValidation>
        <x14:dataValidation type="list" allowBlank="1" showInputMessage="1" showErrorMessage="1" xr:uid="{00000000-0002-0000-0200-000000000000}">
          <x14:formula1>
            <xm:f>Puntajes!$C$2:$G$2</xm:f>
          </x14:formula1>
          <xm:sqref>G4 D4</xm:sqref>
        </x14:dataValidation>
        <x14:dataValidation type="list" allowBlank="1" showInputMessage="1" showErrorMessage="1" xr:uid="{00000000-0002-0000-0200-000001000000}">
          <x14:formula1>
            <xm:f>Puntajes!$C$5:$G$5</xm:f>
          </x14:formula1>
          <xm:sqref>G5 D5</xm:sqref>
        </x14:dataValidation>
        <x14:dataValidation type="list" allowBlank="1" showInputMessage="1" showErrorMessage="1" xr:uid="{00000000-0002-0000-0200-000002000000}">
          <x14:formula1>
            <xm:f>Puntajes!$C$8:$G$8</xm:f>
          </x14:formula1>
          <xm:sqref>G6 D6</xm:sqref>
        </x14:dataValidation>
        <x14:dataValidation type="list" allowBlank="1" showInputMessage="1" showErrorMessage="1" xr:uid="{00000000-0002-0000-0200-000004000000}">
          <x14:formula1>
            <xm:f>Puntajes!$C$14:$G$14</xm:f>
          </x14:formula1>
          <xm:sqref>G8 D8</xm:sqref>
        </x14:dataValidation>
        <x14:dataValidation type="list" allowBlank="1" showInputMessage="1" showErrorMessage="1" xr:uid="{00000000-0002-0000-0200-000005000000}">
          <x14:formula1>
            <xm:f>Puntajes!$C$17:$G$17</xm:f>
          </x14:formula1>
          <xm:sqref>G9 D9</xm:sqref>
        </x14:dataValidation>
        <x14:dataValidation type="list" allowBlank="1" showInputMessage="1" showErrorMessage="1" xr:uid="{00000000-0002-0000-0200-000007000000}">
          <x14:formula1>
            <xm:f>Puntajes!$C$23:$G$23</xm:f>
          </x14:formula1>
          <xm:sqref>G11 D11</xm:sqref>
        </x14:dataValidation>
        <x14:dataValidation type="list" allowBlank="1" showInputMessage="1" showErrorMessage="1" xr:uid="{00000000-0002-0000-0200-000009000000}">
          <x14:formula1>
            <xm:f>Puntajes!$C$29:$G$29</xm:f>
          </x14:formula1>
          <xm:sqref>D13 G13</xm:sqref>
        </x14:dataValidation>
        <x14:dataValidation type="list" allowBlank="1" showInputMessage="1" showErrorMessage="1" xr:uid="{00000000-0002-0000-0200-00000B000000}">
          <x14:formula1>
            <xm:f>Puntajes!$C$35:$G$35</xm:f>
          </x14:formula1>
          <xm:sqref>G15 D15</xm:sqref>
        </x14:dataValidation>
        <x14:dataValidation type="list" allowBlank="1" showInputMessage="1" showErrorMessage="1" xr:uid="{C2C7DD44-3495-453F-AC67-6511C6807669}">
          <x14:formula1>
            <xm:f>Puntajes!$C$11:$H$11</xm:f>
          </x14:formula1>
          <xm:sqref>G7 D7</xm:sqref>
        </x14:dataValidation>
        <x14:dataValidation type="list" allowBlank="1" showInputMessage="1" showErrorMessage="1" xr:uid="{481F5165-0E5B-432A-90C2-2624EB0898D4}">
          <x14:formula1>
            <xm:f>Puntajes!$C$20:$I$20</xm:f>
          </x14:formula1>
          <xm:sqref>G10 D10</xm:sqref>
        </x14:dataValidation>
        <x14:dataValidation type="list" allowBlank="1" showInputMessage="1" showErrorMessage="1" xr:uid="{7FC44FCD-E15A-4D1D-B82E-A22DA1F0022A}">
          <x14:formula1>
            <xm:f>Puntajes!$C$32:$K$32</xm:f>
          </x14:formula1>
          <xm:sqref>G14 D14</xm:sqref>
        </x14:dataValidation>
        <x14:dataValidation type="list" allowBlank="1" showInputMessage="1" showErrorMessage="1" xr:uid="{E08E6CE2-8A35-44BC-8F4B-52490358AA7C}">
          <x14:formula1>
            <xm:f>Puntajes!$C$41:$N$41</xm:f>
          </x14:formula1>
          <xm:sqref>G17 D17</xm:sqref>
        </x14:dataValidation>
        <x14:dataValidation type="list" allowBlank="1" showInputMessage="1" showErrorMessage="1" xr:uid="{EA614D99-EFCF-4800-AA6C-E9E4E1C58345}">
          <x14:formula1>
            <xm:f>Puntajes!$C$38:$N$38</xm:f>
          </x14:formula1>
          <xm:sqref>G16 D16</xm:sqref>
        </x14:dataValidation>
        <x14:dataValidation type="list" allowBlank="1" showInputMessage="1" showErrorMessage="1" xr:uid="{CCA94BC0-2D43-4030-89E2-B79D8E204A04}">
          <x14:formula1>
            <xm:f>Puntajes!$C$44:$N$44</xm:f>
          </x14:formula1>
          <xm:sqref>G18 D18</xm:sqref>
        </x14:dataValidation>
        <x14:dataValidation type="list" allowBlank="1" showInputMessage="1" showErrorMessage="1" xr:uid="{BEEF41CF-5110-4CF8-9CCB-B19AF4FB2287}">
          <x14:formula1>
            <xm:f>Puntajes!$C$47:$H$47</xm:f>
          </x14:formula1>
          <xm:sqref>G19 D19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Capacidad Jurídica</vt:lpstr>
      <vt:lpstr>Técnico-Experiencia General</vt:lpstr>
      <vt:lpstr>Técnico-Experiencia Específica</vt:lpstr>
      <vt:lpstr>Técnico-Personal</vt:lpstr>
      <vt:lpstr>Técnico- Cartas de fábrica</vt:lpstr>
      <vt:lpstr>Financiero</vt:lpstr>
      <vt:lpstr>Ponderables</vt:lpstr>
      <vt:lpstr>Precio</vt:lpstr>
      <vt:lpstr>Factor técnico</vt:lpstr>
      <vt:lpstr>Puntajes</vt:lpstr>
      <vt:lpstr>Estímulo-Discap-Empren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Diego Hernandez Mejia</dc:creator>
  <cp:keywords/>
  <dc:description/>
  <cp:lastModifiedBy>Mónica Cecilia Erasso Cifuentes</cp:lastModifiedBy>
  <cp:revision/>
  <dcterms:created xsi:type="dcterms:W3CDTF">2020-09-07T16:34:13Z</dcterms:created>
  <dcterms:modified xsi:type="dcterms:W3CDTF">2025-09-23T21:30:08Z</dcterms:modified>
  <cp:category/>
  <cp:contentStatus/>
</cp:coreProperties>
</file>