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esumedellin-my.sharepoint.com/personal/jaguilard_esu_com_co/Documents/Escritorio/Doc Procesos/11. Equipos Sec cultura Ciudadadna -Parque Biblioteca/1. Suministros informaticos/"/>
    </mc:Choice>
  </mc:AlternateContent>
  <xr:revisionPtr revIDLastSave="599" documentId="8_{75A900A1-B101-4489-A2CE-12B226DF3255}" xr6:coauthVersionLast="47" xr6:coauthVersionMax="47" xr10:uidLastSave="{195575CA-19C6-4750-B0CB-CE8E22034E20}"/>
  <bookViews>
    <workbookView xWindow="-120" yWindow="-120" windowWidth="20730" windowHeight="11040" xr2:uid="{CE12A706-3E4F-4BB6-8804-21C19B0F9673}"/>
  </bookViews>
  <sheets>
    <sheet name="Ajustado " sheetId="3" r:id="rId1"/>
    <sheet name="Hoja1 (2)" sheetId="2" r:id="rId2"/>
    <sheet name="Hoja1"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3" l="1"/>
  <c r="M10" i="3"/>
  <c r="M9" i="3"/>
  <c r="M8" i="3"/>
  <c r="M7" i="3"/>
  <c r="M6" i="3"/>
  <c r="M5" i="3"/>
  <c r="M4" i="3"/>
  <c r="Q13" i="3"/>
  <c r="Q12" i="3"/>
  <c r="Q11" i="3"/>
  <c r="Q10" i="3"/>
  <c r="Q9" i="3"/>
  <c r="Q8" i="3"/>
  <c r="Q7" i="3"/>
  <c r="Q6" i="3"/>
  <c r="Q5" i="3"/>
  <c r="Q4" i="3"/>
  <c r="M13" i="3"/>
  <c r="M12" i="3"/>
  <c r="L5" i="3"/>
  <c r="I4" i="3"/>
  <c r="I5" i="3"/>
  <c r="I10" i="3"/>
  <c r="S13" i="3"/>
  <c r="T13" i="3" s="1"/>
  <c r="U13" i="3" s="1"/>
  <c r="O13" i="3"/>
  <c r="P13" i="3" s="1"/>
  <c r="K13" i="3"/>
  <c r="L13" i="3" s="1"/>
  <c r="G13" i="3"/>
  <c r="H13" i="3" s="1"/>
  <c r="I13" i="3" s="1"/>
  <c r="S12" i="3"/>
  <c r="T12" i="3" s="1"/>
  <c r="U12" i="3" s="1"/>
  <c r="O12" i="3"/>
  <c r="P12" i="3" s="1"/>
  <c r="K12" i="3"/>
  <c r="L12" i="3" s="1"/>
  <c r="G12" i="3"/>
  <c r="H12" i="3" s="1"/>
  <c r="I12" i="3" s="1"/>
  <c r="S11" i="3"/>
  <c r="T11" i="3" s="1"/>
  <c r="U11" i="3" s="1"/>
  <c r="O11" i="3"/>
  <c r="P11" i="3" s="1"/>
  <c r="J11" i="3"/>
  <c r="G11" i="3"/>
  <c r="H11" i="3" s="1"/>
  <c r="I11" i="3" s="1"/>
  <c r="S10" i="3"/>
  <c r="T10" i="3" s="1"/>
  <c r="U10" i="3" s="1"/>
  <c r="P10" i="3"/>
  <c r="J10" i="3"/>
  <c r="K10" i="3" s="1"/>
  <c r="G10" i="3"/>
  <c r="H10" i="3" s="1"/>
  <c r="S9" i="3"/>
  <c r="T9" i="3" s="1"/>
  <c r="U9" i="3" s="1"/>
  <c r="O9" i="3"/>
  <c r="P9" i="3" s="1"/>
  <c r="K9" i="3"/>
  <c r="L9" i="3" s="1"/>
  <c r="G9" i="3"/>
  <c r="H9" i="3" s="1"/>
  <c r="I9" i="3" s="1"/>
  <c r="S8" i="3"/>
  <c r="T8" i="3" s="1"/>
  <c r="U8" i="3" s="1"/>
  <c r="O8" i="3"/>
  <c r="P8" i="3" s="1"/>
  <c r="J8" i="3"/>
  <c r="K8" i="3" s="1"/>
  <c r="L8" i="3" s="1"/>
  <c r="G8" i="3"/>
  <c r="H8" i="3" s="1"/>
  <c r="I8" i="3" s="1"/>
  <c r="S7" i="3"/>
  <c r="T7" i="3" s="1"/>
  <c r="U7" i="3" s="1"/>
  <c r="O7" i="3"/>
  <c r="P7" i="3" s="1"/>
  <c r="J7" i="3"/>
  <c r="K7" i="3" s="1"/>
  <c r="L7" i="3" s="1"/>
  <c r="G7" i="3"/>
  <c r="H7" i="3" s="1"/>
  <c r="I7" i="3" s="1"/>
  <c r="AA6" i="3"/>
  <c r="S6" i="3"/>
  <c r="T6" i="3" s="1"/>
  <c r="U6" i="3" s="1"/>
  <c r="O6" i="3"/>
  <c r="P6" i="3" s="1"/>
  <c r="L6" i="3"/>
  <c r="G6" i="3"/>
  <c r="H6" i="3" s="1"/>
  <c r="I6" i="3" s="1"/>
  <c r="AA5" i="3"/>
  <c r="S5" i="3"/>
  <c r="T5" i="3" s="1"/>
  <c r="U5" i="3" s="1"/>
  <c r="O5" i="3"/>
  <c r="P5" i="3" s="1"/>
  <c r="K5" i="3"/>
  <c r="G5" i="3"/>
  <c r="H5" i="3" s="1"/>
  <c r="S4" i="3"/>
  <c r="T4" i="3" s="1"/>
  <c r="U4" i="3" s="1"/>
  <c r="P4" i="3"/>
  <c r="L4" i="3"/>
  <c r="G4" i="3"/>
  <c r="H4" i="3" s="1"/>
  <c r="AB7" i="1"/>
  <c r="AA7" i="1"/>
  <c r="AA6" i="1"/>
  <c r="AA5" i="1"/>
  <c r="J9" i="1"/>
  <c r="J8" i="1"/>
  <c r="J12" i="1"/>
  <c r="J11" i="1"/>
  <c r="J7" i="1"/>
  <c r="I14" i="3" l="1"/>
  <c r="X6" i="3"/>
  <c r="L10" i="3"/>
  <c r="K11" i="3"/>
  <c r="L11" i="3" s="1"/>
  <c r="X8" i="3"/>
  <c r="W8" i="3"/>
  <c r="V8" i="3"/>
  <c r="X4" i="3"/>
  <c r="V4" i="3"/>
  <c r="W4" i="3"/>
  <c r="X7" i="3"/>
  <c r="W7" i="3"/>
  <c r="V7" i="3"/>
  <c r="X12" i="3"/>
  <c r="V12" i="3"/>
  <c r="W12" i="3"/>
  <c r="U14" i="3"/>
  <c r="X5" i="3"/>
  <c r="W5" i="3"/>
  <c r="V5" i="3"/>
  <c r="X13" i="3"/>
  <c r="W13" i="3"/>
  <c r="V13" i="3"/>
  <c r="W6" i="3"/>
  <c r="X9" i="3"/>
  <c r="V9" i="3"/>
  <c r="W9" i="3"/>
  <c r="V6" i="3"/>
  <c r="E15" i="2"/>
  <c r="N8" i="2"/>
  <c r="N7" i="2"/>
  <c r="Y6" i="3" l="1"/>
  <c r="V11" i="3"/>
  <c r="W11" i="3"/>
  <c r="W14" i="3" s="1"/>
  <c r="X11" i="3"/>
  <c r="Y11" i="3" s="1"/>
  <c r="W10" i="3"/>
  <c r="V10" i="3"/>
  <c r="X10" i="3"/>
  <c r="Y13" i="3"/>
  <c r="Y9" i="3"/>
  <c r="M14" i="3"/>
  <c r="Y7" i="3"/>
  <c r="Y12" i="3"/>
  <c r="Y8" i="3"/>
  <c r="Q14" i="3"/>
  <c r="Y5" i="3"/>
  <c r="Y4" i="3"/>
  <c r="U20" i="2"/>
  <c r="T20" i="2"/>
  <c r="S20" i="2"/>
  <c r="O20" i="2"/>
  <c r="P20" i="2" s="1"/>
  <c r="Q20" i="2" s="1"/>
  <c r="K20" i="2"/>
  <c r="L20" i="2" s="1"/>
  <c r="M20" i="2" s="1"/>
  <c r="G20" i="2"/>
  <c r="H20" i="2" s="1"/>
  <c r="I20" i="2" s="1"/>
  <c r="U19" i="2"/>
  <c r="T19" i="2"/>
  <c r="S19" i="2"/>
  <c r="O19" i="2"/>
  <c r="P19" i="2" s="1"/>
  <c r="Q19" i="2" s="1"/>
  <c r="K19" i="2"/>
  <c r="L19" i="2" s="1"/>
  <c r="M19" i="2" s="1"/>
  <c r="G19" i="2"/>
  <c r="H19" i="2" s="1"/>
  <c r="I19" i="2" s="1"/>
  <c r="U18" i="2"/>
  <c r="T18" i="2"/>
  <c r="S18" i="2"/>
  <c r="O18" i="2"/>
  <c r="P18" i="2" s="1"/>
  <c r="Q18" i="2" s="1"/>
  <c r="K18" i="2"/>
  <c r="L18" i="2" s="1"/>
  <c r="M18" i="2" s="1"/>
  <c r="G18" i="2"/>
  <c r="H18" i="2" s="1"/>
  <c r="I18" i="2" s="1"/>
  <c r="S17" i="2"/>
  <c r="T17" i="2" s="1"/>
  <c r="U17" i="2" s="1"/>
  <c r="O17" i="2"/>
  <c r="P17" i="2" s="1"/>
  <c r="Q17" i="2" s="1"/>
  <c r="K17" i="2"/>
  <c r="L17" i="2" s="1"/>
  <c r="M17" i="2" s="1"/>
  <c r="H17" i="2"/>
  <c r="I17" i="2" s="1"/>
  <c r="G17" i="2"/>
  <c r="S12" i="2"/>
  <c r="T12" i="2" s="1"/>
  <c r="U12" i="2" s="1"/>
  <c r="O12" i="2"/>
  <c r="P12" i="2" s="1"/>
  <c r="Q12" i="2" s="1"/>
  <c r="K12" i="2"/>
  <c r="L12" i="2" s="1"/>
  <c r="M12" i="2" s="1"/>
  <c r="G12" i="2"/>
  <c r="H12" i="2" s="1"/>
  <c r="I12" i="2" s="1"/>
  <c r="S11" i="2"/>
  <c r="T11" i="2" s="1"/>
  <c r="U11" i="2" s="1"/>
  <c r="O11" i="2"/>
  <c r="P11" i="2" s="1"/>
  <c r="Q11" i="2" s="1"/>
  <c r="J11" i="2"/>
  <c r="K11" i="2" s="1"/>
  <c r="G11" i="2"/>
  <c r="H11" i="2" s="1"/>
  <c r="I11" i="2" s="1"/>
  <c r="S10" i="2"/>
  <c r="T10" i="2" s="1"/>
  <c r="U10" i="2" s="1"/>
  <c r="P10" i="2"/>
  <c r="J10" i="2"/>
  <c r="K10" i="2" s="1"/>
  <c r="L10" i="2" s="1"/>
  <c r="M10" i="2" s="1"/>
  <c r="G10" i="2"/>
  <c r="H10" i="2" s="1"/>
  <c r="I10" i="2" s="1"/>
  <c r="S9" i="2"/>
  <c r="T9" i="2" s="1"/>
  <c r="U9" i="2" s="1"/>
  <c r="O9" i="2"/>
  <c r="P9" i="2" s="1"/>
  <c r="Q9" i="2" s="1"/>
  <c r="K9" i="2"/>
  <c r="L9" i="2" s="1"/>
  <c r="M9" i="2" s="1"/>
  <c r="G9" i="2"/>
  <c r="H9" i="2" s="1"/>
  <c r="I9" i="2" s="1"/>
  <c r="S8" i="2"/>
  <c r="T8" i="2" s="1"/>
  <c r="U8" i="2" s="1"/>
  <c r="O8" i="2"/>
  <c r="P8" i="2" s="1"/>
  <c r="Q8" i="2" s="1"/>
  <c r="K8" i="2"/>
  <c r="L8" i="2" s="1"/>
  <c r="M8" i="2" s="1"/>
  <c r="G8" i="2"/>
  <c r="H8" i="2" s="1"/>
  <c r="I8" i="2" s="1"/>
  <c r="S7" i="2"/>
  <c r="T7" i="2" s="1"/>
  <c r="U7" i="2" s="1"/>
  <c r="O7" i="2"/>
  <c r="P7" i="2" s="1"/>
  <c r="Q7" i="2" s="1"/>
  <c r="J7" i="2"/>
  <c r="K7" i="2" s="1"/>
  <c r="L7" i="2" s="1"/>
  <c r="M7" i="2" s="1"/>
  <c r="G7" i="2"/>
  <c r="H7" i="2" s="1"/>
  <c r="I7" i="2" s="1"/>
  <c r="S6" i="2"/>
  <c r="T6" i="2" s="1"/>
  <c r="U6" i="2" s="1"/>
  <c r="O6" i="2"/>
  <c r="P6" i="2" s="1"/>
  <c r="Q6" i="2" s="1"/>
  <c r="L6" i="2"/>
  <c r="M6" i="2" s="1"/>
  <c r="G6" i="2"/>
  <c r="H6" i="2" s="1"/>
  <c r="I6" i="2" s="1"/>
  <c r="S5" i="2"/>
  <c r="T5" i="2" s="1"/>
  <c r="U5" i="2" s="1"/>
  <c r="O5" i="2"/>
  <c r="P5" i="2" s="1"/>
  <c r="Q5" i="2" s="1"/>
  <c r="K5" i="2"/>
  <c r="L5" i="2" s="1"/>
  <c r="M5" i="2" s="1"/>
  <c r="G5" i="2"/>
  <c r="H5" i="2" s="1"/>
  <c r="I5" i="2" s="1"/>
  <c r="S4" i="2"/>
  <c r="T4" i="2" s="1"/>
  <c r="U4" i="2" s="1"/>
  <c r="U13" i="2" s="1"/>
  <c r="P4" i="2"/>
  <c r="L4" i="2"/>
  <c r="G4" i="2"/>
  <c r="H4" i="2" s="1"/>
  <c r="I4" i="2" s="1"/>
  <c r="S5" i="1"/>
  <c r="S6" i="1"/>
  <c r="S7" i="1"/>
  <c r="S8" i="1"/>
  <c r="S9" i="1"/>
  <c r="S10" i="1"/>
  <c r="S11" i="1"/>
  <c r="S12" i="1"/>
  <c r="S13" i="1"/>
  <c r="S14" i="1"/>
  <c r="S15" i="1"/>
  <c r="S16" i="1"/>
  <c r="S4" i="1"/>
  <c r="V14" i="3" l="1"/>
  <c r="Y10" i="3"/>
  <c r="X14" i="3"/>
  <c r="Y14" i="3" s="1"/>
  <c r="V15" i="3"/>
  <c r="X20" i="2"/>
  <c r="Y20" i="2" s="1"/>
  <c r="W20" i="2"/>
  <c r="V20" i="2"/>
  <c r="X19" i="2"/>
  <c r="Y19" i="2" s="1"/>
  <c r="W19" i="2"/>
  <c r="V19" i="2"/>
  <c r="X18" i="2"/>
  <c r="W18" i="2"/>
  <c r="V18" i="2"/>
  <c r="W17" i="2"/>
  <c r="V17" i="2"/>
  <c r="X17" i="2"/>
  <c r="Y17" i="2" s="1"/>
  <c r="M4" i="2"/>
  <c r="L11" i="2"/>
  <c r="M11" i="2" s="1"/>
  <c r="M13" i="2" s="1"/>
  <c r="I13" i="2"/>
  <c r="V5" i="2"/>
  <c r="X5" i="2"/>
  <c r="Y5" i="2" s="1"/>
  <c r="W5" i="2"/>
  <c r="W10" i="2"/>
  <c r="X10" i="2"/>
  <c r="V10" i="2"/>
  <c r="Q10" i="2"/>
  <c r="X9" i="2"/>
  <c r="W9" i="2"/>
  <c r="V9" i="2"/>
  <c r="X6" i="2"/>
  <c r="W6" i="2"/>
  <c r="V6" i="2"/>
  <c r="X12" i="2"/>
  <c r="W12" i="2"/>
  <c r="V12" i="2"/>
  <c r="Q4" i="2"/>
  <c r="X8" i="2"/>
  <c r="W8" i="2"/>
  <c r="V8" i="2"/>
  <c r="X7" i="2"/>
  <c r="W7" i="2"/>
  <c r="V7" i="2"/>
  <c r="V4" i="2"/>
  <c r="W4" i="2"/>
  <c r="X4" i="2"/>
  <c r="O16" i="1"/>
  <c r="O15" i="1"/>
  <c r="O14" i="1"/>
  <c r="O13" i="1"/>
  <c r="O12" i="1"/>
  <c r="O10" i="1"/>
  <c r="O9" i="1"/>
  <c r="O8" i="1"/>
  <c r="O7" i="1"/>
  <c r="O6" i="1"/>
  <c r="O5" i="1"/>
  <c r="Y18" i="2" l="1"/>
  <c r="V11" i="2"/>
  <c r="V13" i="2" s="1"/>
  <c r="X11" i="2"/>
  <c r="Y11" i="2" s="1"/>
  <c r="W11" i="2"/>
  <c r="W13" i="2" s="1"/>
  <c r="Q13" i="2"/>
  <c r="V14" i="2" s="1"/>
  <c r="Y10" i="2"/>
  <c r="Y9" i="2"/>
  <c r="Y6" i="2"/>
  <c r="Y8" i="2"/>
  <c r="Y4" i="2"/>
  <c r="Y7" i="2"/>
  <c r="Y12" i="2"/>
  <c r="K7" i="1"/>
  <c r="K8" i="1"/>
  <c r="K9" i="1"/>
  <c r="K10" i="1"/>
  <c r="K11" i="1"/>
  <c r="K12" i="1"/>
  <c r="K13" i="1"/>
  <c r="K14" i="1"/>
  <c r="K15" i="1"/>
  <c r="K16" i="1"/>
  <c r="K5" i="1"/>
  <c r="X13" i="2" l="1"/>
  <c r="Y13" i="2" s="1"/>
  <c r="G5" i="1"/>
  <c r="G6" i="1"/>
  <c r="G7" i="1"/>
  <c r="G8" i="1"/>
  <c r="G9" i="1"/>
  <c r="G10" i="1"/>
  <c r="G11" i="1"/>
  <c r="G12" i="1"/>
  <c r="G13" i="1"/>
  <c r="G14" i="1"/>
  <c r="G15" i="1"/>
  <c r="G16" i="1"/>
  <c r="G4" i="1"/>
  <c r="T16" i="1" l="1"/>
  <c r="U16" i="1" s="1"/>
  <c r="T15" i="1"/>
  <c r="U15" i="1" s="1"/>
  <c r="T14" i="1"/>
  <c r="U14" i="1" s="1"/>
  <c r="T13" i="1"/>
  <c r="U13" i="1" s="1"/>
  <c r="T12" i="1"/>
  <c r="U12" i="1" s="1"/>
  <c r="T11" i="1"/>
  <c r="U11" i="1" s="1"/>
  <c r="T10" i="1"/>
  <c r="U10" i="1" s="1"/>
  <c r="T9" i="1"/>
  <c r="U9" i="1" s="1"/>
  <c r="T8" i="1"/>
  <c r="U8" i="1" s="1"/>
  <c r="T7" i="1"/>
  <c r="U7" i="1" s="1"/>
  <c r="T6" i="1"/>
  <c r="U6" i="1" s="1"/>
  <c r="T5" i="1"/>
  <c r="U5" i="1" s="1"/>
  <c r="T4" i="1"/>
  <c r="U4" i="1" s="1"/>
  <c r="P16" i="1"/>
  <c r="Q16" i="1" s="1"/>
  <c r="P15" i="1"/>
  <c r="Q15" i="1" s="1"/>
  <c r="P14" i="1"/>
  <c r="Q14" i="1" s="1"/>
  <c r="P13" i="1"/>
  <c r="Q13" i="1" s="1"/>
  <c r="P12" i="1"/>
  <c r="Q12" i="1" s="1"/>
  <c r="P11" i="1"/>
  <c r="P10" i="1"/>
  <c r="Q10" i="1" s="1"/>
  <c r="P9" i="1"/>
  <c r="Q9" i="1" s="1"/>
  <c r="P8" i="1"/>
  <c r="Q8" i="1" s="1"/>
  <c r="P7" i="1"/>
  <c r="Q7" i="1" s="1"/>
  <c r="P6" i="1"/>
  <c r="Q6" i="1" s="1"/>
  <c r="P5" i="1"/>
  <c r="Q5" i="1" s="1"/>
  <c r="P4" i="1"/>
  <c r="L16" i="1"/>
  <c r="M16" i="1" s="1"/>
  <c r="L15" i="1"/>
  <c r="M15" i="1" s="1"/>
  <c r="L14" i="1"/>
  <c r="M14" i="1" s="1"/>
  <c r="L13" i="1"/>
  <c r="M13" i="1" s="1"/>
  <c r="L12" i="1"/>
  <c r="M12" i="1" s="1"/>
  <c r="L11" i="1"/>
  <c r="M11" i="1" s="1"/>
  <c r="L10" i="1"/>
  <c r="M10" i="1" s="1"/>
  <c r="L9" i="1"/>
  <c r="M9" i="1" s="1"/>
  <c r="L8" i="1"/>
  <c r="M8" i="1" s="1"/>
  <c r="L7" i="1"/>
  <c r="M7" i="1" s="1"/>
  <c r="L6" i="1"/>
  <c r="M6" i="1" s="1"/>
  <c r="L5" i="1"/>
  <c r="M5" i="1" s="1"/>
  <c r="L4" i="1"/>
  <c r="H5" i="1" l="1"/>
  <c r="I5" i="1" s="1"/>
  <c r="H6" i="1"/>
  <c r="I6" i="1" s="1"/>
  <c r="H7" i="1"/>
  <c r="I7" i="1" s="1"/>
  <c r="H8" i="1"/>
  <c r="I8" i="1" s="1"/>
  <c r="H9" i="1"/>
  <c r="H10" i="1"/>
  <c r="I10" i="1" s="1"/>
  <c r="H11" i="1"/>
  <c r="I11" i="1" s="1"/>
  <c r="H12" i="1"/>
  <c r="I12" i="1" s="1"/>
  <c r="H13" i="1"/>
  <c r="I13" i="1" s="1"/>
  <c r="H14" i="1"/>
  <c r="I14" i="1" s="1"/>
  <c r="H15" i="1"/>
  <c r="I15" i="1" s="1"/>
  <c r="H16" i="1"/>
  <c r="I16" i="1" s="1"/>
  <c r="H4" i="1"/>
  <c r="I4" i="1" s="1"/>
  <c r="I9" i="1"/>
  <c r="W12" i="1" l="1"/>
  <c r="V12" i="1"/>
  <c r="X12" i="1"/>
  <c r="V10" i="1"/>
  <c r="X10" i="1"/>
  <c r="W10" i="1"/>
  <c r="Q11" i="1"/>
  <c r="X11" i="1"/>
  <c r="V11" i="1"/>
  <c r="W11" i="1"/>
  <c r="X9" i="1"/>
  <c r="V9" i="1"/>
  <c r="W9" i="1"/>
  <c r="W4" i="1"/>
  <c r="X4" i="1"/>
  <c r="V4" i="1"/>
  <c r="V16" i="1"/>
  <c r="W16" i="1"/>
  <c r="X16" i="1"/>
  <c r="V8" i="1"/>
  <c r="X8" i="1"/>
  <c r="W8" i="1"/>
  <c r="W15" i="1"/>
  <c r="X15" i="1"/>
  <c r="V15" i="1"/>
  <c r="X7" i="1"/>
  <c r="W7" i="1"/>
  <c r="V7" i="1"/>
  <c r="W14" i="1"/>
  <c r="V14" i="1"/>
  <c r="X14" i="1"/>
  <c r="Y14" i="1" s="1"/>
  <c r="V6" i="1"/>
  <c r="X6" i="1"/>
  <c r="W6" i="1"/>
  <c r="X13" i="1"/>
  <c r="V13" i="1"/>
  <c r="W13" i="1"/>
  <c r="V5" i="1"/>
  <c r="W5" i="1"/>
  <c r="X5" i="1"/>
  <c r="Y5" i="1" s="1"/>
  <c r="I17" i="1"/>
  <c r="M4" i="1"/>
  <c r="M17" i="1" s="1"/>
  <c r="Y15" i="1" l="1"/>
  <c r="Y11" i="1"/>
  <c r="Y8" i="1"/>
  <c r="Y10" i="1"/>
  <c r="Y13" i="1"/>
  <c r="Y7" i="1"/>
  <c r="Y9" i="1"/>
  <c r="Y16" i="1"/>
  <c r="X17" i="1"/>
  <c r="Y12" i="1"/>
  <c r="Y4" i="1"/>
  <c r="V17" i="1"/>
  <c r="Y6" i="1"/>
  <c r="W17" i="1"/>
  <c r="Q4" i="1"/>
  <c r="Y17" i="1" l="1"/>
  <c r="Q17" i="1"/>
  <c r="U17" i="1"/>
  <c r="V18" i="1" l="1"/>
</calcChain>
</file>

<file path=xl/sharedStrings.xml><?xml version="1.0" encoding="utf-8"?>
<sst xmlns="http://schemas.openxmlformats.org/spreadsheetml/2006/main" count="201" uniqueCount="46">
  <si>
    <t>#</t>
  </si>
  <si>
    <t>Categoria</t>
  </si>
  <si>
    <t>Descripcion</t>
  </si>
  <si>
    <t>Especificaciones</t>
  </si>
  <si>
    <t>Cantidad</t>
  </si>
  <si>
    <t>IVA</t>
  </si>
  <si>
    <t>Valor unitario</t>
  </si>
  <si>
    <t xml:space="preserve">Valor con IVA </t>
  </si>
  <si>
    <r>
      <t>TOTAL</t>
    </r>
    <r>
      <rPr>
        <sz val="8"/>
        <color theme="1"/>
        <rFont val="Arial"/>
        <family val="2"/>
      </rPr>
      <t xml:space="preserve"> 
(cantidad *valor con IVA)</t>
    </r>
  </si>
  <si>
    <t>*Fuentes de Luz: 650nm laser (diodo laser visible seguro) *Capacidad de decodificación: 10 *Simbologias: EAN-8, EAN-13, UPC-E, CODE39, CODE93, CODE128, Codebar, Industrial 2 of 5, Interleave 2 of 5, Matrix 2 of 5, MSI, China Post Code y todos los códigos de barras 1D *Tipo de scaneo: Laser lineal *Velocidad de escaneo: 300 scaneos por segundo *Metodo de scaneo: Manual y continuo *Angulo de escaneo: sesgo 65°, inclinación 55° y rotación 65° *Precisión: 3 &amp; 4 mil. (0.1mm) *Profundidad del campo de exploracion: 0-280mm (0.33mm, PCS90%) *Tasa de error: Menos de 1 en 1´000.000 *Alertas: Indicador led - función correcta *Indicador acustico - Tono función correcta *Interfaz: USB-HID</t>
  </si>
  <si>
    <t>*Negro, *Laser, *Cartucho, *9700, *SKU W1510X</t>
  </si>
  <si>
    <t xml:space="preserve">Procesador Intel® Core™ i5-13500 * 14 núcleos (6 P-Cores y 8 E-Cores), 20 hilos, 24 MB Intel® Smart *Cache. Max Turbo Frequency: 4.80 GHz * P-Core Frequency =&gt; Base: 2.50 GHz - Max Turbo: 4.80 GHz * E-Core Frequency =&gt; Base: 1.80 GHz - Max Turbo: 3.50 GHz *Chipset Intel® Q670 *Sistema Operativo Windows 11 Pro de 64 bits en Español. *Pantalla LCD de 23.8" en diagonal, FHD (1920x1080), con retroiluminación WLED, antirreflejo, con Base de altura ajustable *Gráficos Intel® UHD Graphics 770 *Memoria RAM 16 GB (1x16GB) DDR4 3200 SODIMM Soporta hasta 64 GB en (2) slots *Almacenamiento Unidad de estado solido M.2 SSD 512 GB 2280 PCIe NVMe Value *Teclado Teclado HP alámbrico en Español *Mouse Mouse alámbrico *Audio HD con estéreo códec Realtek ALC3252, compatible con tecnología  de transmisión múltiple *Cámara Web Webcam FHD 5MP con arreglo de doble micrófono digital integrado *Conectividad LAN: Intel® I219-LM 1 Gigabit Network Connection *WLAN: Realtek RTL8852BE Wi-Fi 6 802.11 + Bluetooth 5.3 *Fuente de poder Adaptador AC de 150 Watt, eficiencia promedio de 88%. Estándar Militar MIL-STD-810H. PARA PORTATIL:  ENERGY STAR®️ 8.0, EPEAT GOLD, TCO, FCC, UL, CE, ROHS, ISO 14001-9001, PARA AIO: ENERGY STAR®️ 8.0, EPEAT GOLD, TCO 9.0, FCC, UL, CE, ROHS, ISO 14001-9001, MIL-STD-810H </t>
  </si>
  <si>
    <t xml:space="preserve">Procesador Intel® Core™ i5-1334U 10 núcleos (2 P-Cores y 8 E-Cores), 12 hilos, 12 MB Intel® Smart  Cache Max Turbo Frequency: 4.60 GHz P-Core Frequency =&gt; Base: 1.30 GHz - Max Turbo: 4.60 GHz E-Core Frequency =&gt; Base: 0.90 GHz - Max Turbo: 3.40 GHz *Chipset Integrado en el procesador *Sistema Operativo Windows 11 Pro de 64 bits en Español. *Pantalla LCD delgada de 14" en diagonal con retroiluminación LED, FHD  (1920x1080), con antirreflejo, de 250 nits, UWVA *Gráficos Integrada: Intel® UHD Graphics  *Memoria RAM 16 GB (1x16GB) DDR4 3200  *Soporta hasta 32 GB en (2) slots SODIMM *Almacenamiento Unidad de estado solido M.2 SSD 512 GB PCIe NVMe Value *Teclado HP Premium, resistente a derrames en Español *Mouse ClickPad con soporte para gestos y toques múltiples *Audio HD codec Realtek ALC3247 con 2 altavoces estéreo integrados *Cámara Web Webcam HD 720p con arreglo de 2 micrófonos integrados *Conectividad LAN: Realtek RTL8111HSH 10/100/1000 Integrated NIC WLAN: Intel AX211 Wi-Fi 6E 802.11 ax 2x2+ Bluetooth 5.3 *Batería Polímero de 3 celdas 42 Whr de larga duración con autonomía de hasta 11 horas y 30 minutos (MobileMark2018) en Win 10 *Adaptador AC Adaptador AC de 45 Watt *Peso A partir de 1.38 Kg. Estándar Militar MIL-STD-810H. PARA PORTATIL:  ENERGY STAR®️ 8.0, EPEAT GOLD, TCO, FCC, UL, CE, ROHS, ISO 14001-9001, PARA AIO: ENERGY STAR®️ 8.0, EPEAT GOLD, TCO 9.0, FCC, UL, CE, ROHS, ISO 14001-9001, MIL-STD-810H </t>
  </si>
  <si>
    <t>Guaya de Seguridad con llave</t>
  </si>
  <si>
    <t>Patch cord 1.5 Mts Cat6 Certificado Azul</t>
  </si>
  <si>
    <t>Suministros Informaticos</t>
  </si>
  <si>
    <t xml:space="preserve">Escanner de codigo de barras 1D
</t>
  </si>
  <si>
    <t>UPS online 2000va/1600w</t>
  </si>
  <si>
    <t>SALIDA
*Capacidad eléctrica de salida 1.6Kilovatios / 2.0kVA *Potencia máx. configurable (vatios) 1.6Kilovatios / 2.0kVA *Voltaje de salida nominal 120V, *Eficacia con carga completa 88.0 %, *Distorsión de Voltaje de Salida 3 % *Frecuencia de salida (sincronizada con la red eléctrica) 50/60 Hz +/- 3 Hz Sincronizado para principale *Otras tensiones de salida 110, 115*Factor de carga pico 3:1 *Topología Online de doble conversión *Tipo de forma de onda Onda senoidal *Conexiones de salida (4) NEMA 5-20R *Derivación interna (automática y manual)
ENTRADA
*Voltaje Nominal de Entrada 120V *Frecuencia de entrada 40-70 Hz *Tipo de Conexión de Entrada NEMA L5-20P *Longitud de Cable 1.5metros *Rango de voltaje de entrada en operaciones principales: 55 - 150 Adjustable (half load), 85 - 150V *Número de cables de alimentación:1 *Eficacia con carga completa 88.0 % *Otras tensiones de entrada 110, 115
BATERIAS
*Tipo de batería Batería de plomo y ácido *Tiempo típico de recarga 4hour(s)
*Suministro de carga de baterías (vatios) 76Vatios *Capacidad VA/hora de la Batería 304 *Rendimiento View Efficiency Graph (Disponible en la ficha técnica de la página
COMUNICACIONES
Puerto (s) Interfaz DB-9 RS-232, Intelligent Smart Slot, USB Panel de control Consola de estado y control lcd multifunción Alarma Acústica Alarma, si funciona con batería: alarma característica de batería baja: alarma de tono continuo de sobrecarga
PROTECCION Y FILTRO CONTRA PICOS DE VOLTAJE
Surge energy rating 600Julio
CONFORMIDAD
Aceptaciones CE, IEC 62040-1-1, IEC 62040-1-2
Garantía estándar 2 años para reparaciones o recambio</t>
  </si>
  <si>
    <t>Impresora multifuncional a blanco y negro</t>
  </si>
  <si>
    <t>Tecnologías de resolución de impresión FastRes 1200, ProRes1200, Economode Calidad de impresión en negro (óptima) Líneas nas (1200 x 1200 dpi) Velocidad de impresión monocromática (ISO,A4) Hasta 40 ppm Velocidad de impresión monocromática (ISO, carta) Hasta 42 ppm Velocidad de impresión Imprime hasta 42/40 ppm (A4/carta) Funciones Impresión, copia, escaneado, fax Impresión a doble cara Automático (por defecto) Ciclo de trabajo (mensual, A4) Hasta 80.000 páginas Ciclo de trabajo (mensual, carta) Up to 80,000 pages Funciones del software inteligente de la impresora Impresión automática a doble cara e impresión de folletos, impresión N-up, compaginación, marcas de agua, instalación del controlador de impresora solamente, función Eco Mode para ahorrar tóner, acepta diferentes tamaños y tipos de papel [1] Funciones avanzadas del escáner Vista previa de copia Funciones de software inteligente de fax Reducción de fax automática; Remarcado automático; Envío retardado; Reenvío de fax; Interfaz TAM; Barrera para correo no deseado; Detección de tono distintivo; Página de portada; Bloquear fax; Códigos de facturación; Guardar y cargar; Informes de actividad de fax; Conguración del prejo de marcación; Imprimir registro de faxes; Fax digital HP Tecnología de recurso de ahorro de energía Tecnología HP Auto-On/Auto-Off; Tecnología Instant-on; Tóner EcoSmart negro Cartuchos de reemplazo Cartucho de tóner original HP LaserJet 151A, negro (aproximadamente 3050 páginas), W1510A; Cartucho de tóner original HP LaserJet 151X, negro (aproximadamente 9700 páginas), W1510X [4] Consumibles especiales Cartucho HP JetIntelligence Módem 33,6 kbps Capacidades de red Sí, a través de 10/100/1000Base-TX Ethernet y Gigabit incorporados; Ethernet de cruzado automático; Autenticación mediante 802.1X Capacidad de impresión móvil Aplicación HP Smart; Apple AirPrint™; Con certicación Mopria™; Impresión Wi-Fi Direct® Protocolos de red, admitidos TCP/IP, IPv4, IPv6; Impresión: Puerto TCP-IP 9100 Direct Mode, LPD (solo admite colas de datos sin procesar), Apple AirPrint™, Mopria, impresión IPP; Detección: SLP, Bonjour, Web Services Discovery; Conguración de IP: IPv4 (BootP, DHCP, AutoIP, Manual), IPv6 (Enlace sin estado local y a través del enrutador, con estado completo a través de DHCPv6), administración de certicados y seguridad SSL; Administración: SNMPv1, SNMPv2, SNMPv3, HTTP/HTTPS, Syslog, descarga de FW de FTP Software incluido No se incluyen soluciones de software en la caja, solo en http://hp.com; http://123.hp.com; Sistemas operativos compatibles Windows 11; Windows 10; Windows 7; Windows Client OS; Android; iOS; SO móviles; macOS 10.15 Catalina; macOS 11 Big Sur; macOS 12 Monterey Especicaciones de impacto sustentable Reciclable a través de HP Planet Partners; Contiene plástico reciclado posconsumo Etiquetas ecológicas Declaración de IT ECO Conformidad Blue Angel No, consulte el documento de ECI (Información de Comparación de Ecolabel) Velocidad de copia (negro, calidad normal, A4) Hasta 40 cpm Velocidad de copiado en negro (normal, carta) Up to 42 cpm Velocidad de copia en negro dúplex (A4) Hasta 34 cpm. Velocidad de copia en negro dúplex (carta) Up to 36 cpm Resolución de fax en negro (óptima) Hasta 300 x 300 ppp Fax Sí Velocidad de escaneo (normal, A4) Hasta 29 ppm/46 ipm (blanco y negro), hasta 20 ppm/34 ipm (color) Velocidad de escaneo (normal, carta) Up to 31 ppm/49 ipm (b&amp;w), up to 21 ppm/36 ipm (color) Formato del archivo de digitalización PDF, JPG, TIFF Modos de entrada de digitalización Botones de escaneo, copiado, correo electrónico o archivos en el panel frontal; Software de Escaneo HP; y aplicación de usuario mediante TWAIN o WIA Tecnología de escaneado (CIS) Sensor de imagen de contacto Tipo de escáner Cama plana, alimentador automático de documentos (ADF) Área de pantalla (imperial) 2.13 x 1.59 in Área de pantalla (métrica) 5,4 x 4,05 cm Pantalla 2.7" (6.86 cm) intuitive color touchscreen (CGD)
Dimensiones mínimas (anch. x prof. x alt.) 420 x 390 x 323 mm (sin bandejas ni cubiertas extendidas) Dimensiones mínimas (anch. x prof. x alt.) 16.54 x 15.35 x 12.72 in (without trays and covers not extended) Peso 12,6 kg Peso 27.78 lb. Consumo de energía 510 vatios (impresión activa), 7,5 vatios (lista), 0,9 vatios (suspensión), 0,9 vatios (apagado automático/despertar en LAN, activado desde la compra), 0,06 vatios (apagado automático/encendido manual), 0,06 vatios (apagado manual) (Los requisitos de alimentación dependen del país/región en el que se venda la impresora. No modifique los voltajes de funcionamiento. Podría ocasionar daños en la impresora e invalidar la garantía del producto.) Tipo de fuente de alimentación Fuente de alimentación interna (integrada)  Garantía delfabricante Un año de garantía de reparación en el almacén / banco. Las opciones de garantía y asistencia varían según el producto, el país y los requisitos legales locales.
Póngase en contacto con su proveedor contractual o visite hp.com/support para obtener información sobre las galardonadas opciones de asistencia y servicio de HP en su región. (código de garantía 4E; ID de garantía A033)</t>
  </si>
  <si>
    <t>Toner para impresora</t>
  </si>
  <si>
    <t>PC mesa con licenciamiento</t>
  </si>
  <si>
    <t>PC portatil con licenciamiento</t>
  </si>
  <si>
    <t>Computador apple Laptop</t>
  </si>
  <si>
    <t xml:space="preserve"> MacBook Pro de 14 pulgadas: Chip M3 Pro de Apple con CPU de 11 núcleos y GPU de 14 núcleos, almacenamiento de 512 GB SSD y memoria unificada de 18 GB </t>
  </si>
  <si>
    <t>Tablet</t>
  </si>
  <si>
    <t>Processor MediaTek Helio G99 (8C, 2x A76 @2.2GHz + 6x A55 @2.0GHz) *Graphics Integrated Arm Mali-G57 MC2 GPU *Chipset MediaTek SoC Platform *Memory 6GB Soldered LPDDR4x *Storage 128GB UFS 2.2 (uMCP) *Card Reader microSD Card Slot *Storage Support • 128GB uMCP (UFS-Based MCP, UFS 2.2) • microSD card, supports up to 1TB (exFAT) *Speakers speakers, 1W x4, optimized with Dolby Atmos® *Microphone 2x, Array *Camera Front 8.0MP / Rear 13.0MP *VoiceCall No *Sensors • Accelerometer (G) sensor • Ambient light sensor (ALS) • Coulomb counter • Gyroscope sensor • Hall sensor • Proximity (P) sensor Vibration Motor Eccentric Rotating Mass (ERM) Battery Integrated 7500mAh (Min.) / 7700mAh (Typ.) Power Adapter 10V / 2A Keyboard *Non-backlit, Spanish (LA) *Pen Pen Bundled</t>
  </si>
  <si>
    <t>Disco duro externo</t>
  </si>
  <si>
    <t xml:space="preserve"> Interface: USB 3.2 Gen1 (USB 5Gbps)
*Capacity: 2TB (black only) /  5TB (black only)
*Dimensions (L x W x H):  (/2TB) 121x81x21mm / 4.8x3.2x0.8" 
* Weight:  (/2TB) 201g / 7.1oz 
*Warranty: 3-year limite</t>
  </si>
  <si>
    <t>Camara web full hd</t>
  </si>
  <si>
    <t>*Resolución FPS Full HD 1080p/30 fps HD 720p/60 fps *Campo visual diagonal 78° 
*Enfoque automático Sí *Corrección de iluminación automática RightLight 2  Microfóno(s) con cancelación de ruido Dos micrófonos omnidireccionales
*Conexión Plug and Play USB-A  *Longitud del cable 1,5m,</t>
  </si>
  <si>
    <t>Dron</t>
  </si>
  <si>
    <t>*Capacidad de almacenamiento 250GB *Memoria expandible 256MB
*Dimensiones 15x15 *Tecnología de transmisión inalámbrica OcuSync 2.0 2.4/5.8 GHz *Alcance de hasta 6.2 millas con OcuSync *Resiste vientos de 19 a 24 mph *Diseño ligero y plegable de 8.8 oz. *Gimbal de 3 ejes con video 4K30 *Capture imágenes fijas de 12MP en JPG y Raw *Hasta 31 minutos de tiempo de vuelo *Velocidad de vuelo de hasta 36 mph *Zoom digital de hasta 4x *Modos panorámicos y de vuelo inteligente *Despegue/vuelo estacionario automático y regreso a casa</t>
  </si>
  <si>
    <t>Guaya para pc</t>
  </si>
  <si>
    <t>Patch Cord</t>
  </si>
  <si>
    <t xml:space="preserve">TOTAL IVA Incluido </t>
  </si>
  <si>
    <t>Cabletronics</t>
  </si>
  <si>
    <t>Compurent</t>
  </si>
  <si>
    <t>Novotechno</t>
  </si>
  <si>
    <t xml:space="preserve">Teamit </t>
  </si>
  <si>
    <t xml:space="preserve">Promedio </t>
  </si>
  <si>
    <t>Coeficiente de disperción</t>
  </si>
  <si>
    <t xml:space="preserve">Mediana </t>
  </si>
  <si>
    <t xml:space="preserve">Desviación </t>
  </si>
  <si>
    <t>Codigo unspsc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</si>
</sst>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7" x14ac:knownFonts="1">
    <font>
      <sz val="11"/>
      <color theme="1"/>
      <name val="Aptos Narrow"/>
      <family val="2"/>
      <scheme val="minor"/>
    </font>
    <font>
      <sz val="11"/>
      <color theme="1"/>
      <name val="Aptos Narrow"/>
      <family val="2"/>
      <scheme val="minor"/>
    </font>
    <font>
      <sz val="8"/>
      <color theme="1"/>
      <name val="Arial"/>
      <family val="2"/>
    </font>
    <font>
      <b/>
      <sz val="8"/>
      <color theme="1"/>
      <name val="Arial"/>
      <family val="2"/>
    </font>
    <font>
      <b/>
      <sz val="11"/>
      <color theme="1"/>
      <name val="Aptos Narrow"/>
      <family val="2"/>
      <scheme val="minor"/>
    </font>
    <font>
      <b/>
      <sz val="10"/>
      <color theme="1"/>
      <name val="Arial"/>
      <family val="2"/>
    </font>
    <font>
      <sz val="11"/>
      <color rgb="FFFF0000"/>
      <name val="Aptos Narrow"/>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wrapText="1"/>
    </xf>
    <xf numFmtId="164" fontId="2" fillId="0" borderId="1" xfId="0" applyNumberFormat="1" applyFont="1" applyBorder="1" applyAlignment="1">
      <alignment vertical="center" wrapText="1"/>
    </xf>
    <xf numFmtId="164" fontId="0" fillId="0" borderId="0" xfId="0" applyNumberFormat="1"/>
    <xf numFmtId="0" fontId="2" fillId="0" borderId="1" xfId="0" applyFont="1" applyBorder="1" applyAlignment="1">
      <alignment horizontal="center" vertical="center"/>
    </xf>
    <xf numFmtId="0" fontId="2" fillId="0" borderId="3" xfId="0" applyFont="1" applyBorder="1" applyAlignment="1">
      <alignment vertical="center" wrapText="1"/>
    </xf>
    <xf numFmtId="0" fontId="2" fillId="0" borderId="1" xfId="0" applyFont="1" applyBorder="1" applyAlignment="1">
      <alignment horizontal="left" vertical="top" wrapText="1"/>
    </xf>
    <xf numFmtId="0" fontId="2" fillId="3" borderId="3" xfId="0" applyFont="1" applyFill="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3" borderId="1" xfId="0" applyFont="1" applyFill="1" applyBorder="1" applyAlignment="1">
      <alignment vertical="center" wrapText="1"/>
    </xf>
    <xf numFmtId="0" fontId="0" fillId="0" borderId="0" xfId="0" applyAlignment="1">
      <alignment wrapText="1"/>
    </xf>
    <xf numFmtId="0" fontId="3" fillId="2" borderId="4" xfId="0" applyFont="1" applyFill="1" applyBorder="1" applyAlignment="1">
      <alignment horizontal="center" vertical="center" wrapText="1"/>
    </xf>
    <xf numFmtId="0" fontId="2" fillId="0" borderId="4" xfId="0" applyFont="1" applyBorder="1" applyAlignment="1">
      <alignment horizontal="center" vertical="center"/>
    </xf>
    <xf numFmtId="0" fontId="2" fillId="3" borderId="4"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164" fontId="2" fillId="0" borderId="8" xfId="1" applyNumberFormat="1" applyFont="1" applyBorder="1" applyAlignment="1">
      <alignment vertical="center" wrapText="1"/>
    </xf>
    <xf numFmtId="164" fontId="2" fillId="0" borderId="9" xfId="0" applyNumberFormat="1" applyFont="1" applyBorder="1" applyAlignment="1">
      <alignment vertical="center" wrapText="1"/>
    </xf>
    <xf numFmtId="164" fontId="2" fillId="0" borderId="10" xfId="1" applyNumberFormat="1" applyFont="1" applyBorder="1" applyAlignment="1">
      <alignment vertical="center" wrapText="1"/>
    </xf>
    <xf numFmtId="164" fontId="2" fillId="0" borderId="11" xfId="0" applyNumberFormat="1" applyFont="1" applyBorder="1" applyAlignment="1">
      <alignment vertical="center" wrapText="1"/>
    </xf>
    <xf numFmtId="164" fontId="2" fillId="0" borderId="12" xfId="0" applyNumberFormat="1" applyFont="1" applyBorder="1" applyAlignment="1">
      <alignment vertical="center" wrapText="1"/>
    </xf>
    <xf numFmtId="0" fontId="0" fillId="0" borderId="2" xfId="0" applyBorder="1"/>
    <xf numFmtId="164" fontId="4" fillId="8" borderId="13" xfId="0" applyNumberFormat="1" applyFont="1" applyFill="1" applyBorder="1"/>
    <xf numFmtId="164" fontId="2" fillId="9" borderId="8" xfId="1" applyNumberFormat="1" applyFont="1" applyFill="1" applyBorder="1" applyAlignment="1">
      <alignment vertical="center" wrapText="1"/>
    </xf>
    <xf numFmtId="164" fontId="2" fillId="10" borderId="8" xfId="1" applyNumberFormat="1" applyFont="1" applyFill="1" applyBorder="1" applyAlignment="1">
      <alignment vertical="center" wrapText="1"/>
    </xf>
    <xf numFmtId="164" fontId="2" fillId="10" borderId="1" xfId="0" applyNumberFormat="1" applyFont="1" applyFill="1" applyBorder="1" applyAlignment="1">
      <alignment vertical="center" wrapText="1"/>
    </xf>
    <xf numFmtId="164" fontId="2" fillId="10" borderId="9" xfId="0" applyNumberFormat="1" applyFont="1" applyFill="1" applyBorder="1" applyAlignment="1">
      <alignment vertical="center" wrapText="1"/>
    </xf>
    <xf numFmtId="164" fontId="2" fillId="10" borderId="10" xfId="1" applyNumberFormat="1" applyFont="1" applyFill="1" applyBorder="1" applyAlignment="1">
      <alignment vertical="center" wrapText="1"/>
    </xf>
    <xf numFmtId="164" fontId="2" fillId="10" borderId="11" xfId="0" applyNumberFormat="1" applyFont="1" applyFill="1" applyBorder="1" applyAlignment="1">
      <alignment vertical="center" wrapText="1"/>
    </xf>
    <xf numFmtId="164" fontId="2" fillId="10" borderId="12" xfId="0" applyNumberFormat="1" applyFont="1" applyFill="1" applyBorder="1" applyAlignment="1">
      <alignment vertical="center" wrapText="1"/>
    </xf>
    <xf numFmtId="164" fontId="2" fillId="0" borderId="4" xfId="0" applyNumberFormat="1" applyFont="1" applyBorder="1" applyAlignment="1">
      <alignment vertical="center" wrapText="1"/>
    </xf>
    <xf numFmtId="164" fontId="2" fillId="0" borderId="14" xfId="0" applyNumberFormat="1" applyFont="1" applyBorder="1" applyAlignment="1">
      <alignment vertical="center" wrapText="1"/>
    </xf>
    <xf numFmtId="164" fontId="4" fillId="8" borderId="15" xfId="0" applyNumberFormat="1" applyFont="1" applyFill="1" applyBorder="1"/>
    <xf numFmtId="0" fontId="3" fillId="4" borderId="16" xfId="0" applyFont="1" applyFill="1" applyBorder="1" applyAlignment="1">
      <alignment horizontal="center" vertical="center" wrapText="1"/>
    </xf>
    <xf numFmtId="164" fontId="2" fillId="0" borderId="17" xfId="0" applyNumberFormat="1" applyFont="1" applyBorder="1" applyAlignment="1">
      <alignment vertical="center" wrapText="1"/>
    </xf>
    <xf numFmtId="164" fontId="2" fillId="0" borderId="18" xfId="0" applyNumberFormat="1" applyFont="1" applyBorder="1" applyAlignment="1">
      <alignment vertical="center" wrapText="1"/>
    </xf>
    <xf numFmtId="0" fontId="3" fillId="7" borderId="16" xfId="0" applyFont="1" applyFill="1" applyBorder="1" applyAlignment="1">
      <alignment horizontal="center" vertical="center" wrapText="1"/>
    </xf>
    <xf numFmtId="0" fontId="3" fillId="5" borderId="16" xfId="0" applyFont="1" applyFill="1" applyBorder="1" applyAlignment="1">
      <alignment horizontal="center" vertical="center" wrapText="1"/>
    </xf>
    <xf numFmtId="9" fontId="2" fillId="0" borderId="18" xfId="2" applyFont="1" applyBorder="1" applyAlignment="1">
      <alignment vertical="center" wrapText="1"/>
    </xf>
    <xf numFmtId="0" fontId="3" fillId="11" borderId="5" xfId="0" applyFont="1" applyFill="1" applyBorder="1" applyAlignment="1">
      <alignment horizontal="center" vertical="center" wrapText="1"/>
    </xf>
    <xf numFmtId="9" fontId="2" fillId="0" borderId="19" xfId="2" applyFont="1" applyBorder="1" applyAlignment="1">
      <alignment vertical="center" wrapText="1"/>
    </xf>
    <xf numFmtId="0" fontId="0" fillId="0" borderId="1" xfId="0" applyBorder="1"/>
    <xf numFmtId="0" fontId="6" fillId="0" borderId="1" xfId="0" applyFont="1" applyBorder="1"/>
    <xf numFmtId="44" fontId="0" fillId="0" borderId="0" xfId="1" applyFont="1"/>
    <xf numFmtId="0" fontId="5" fillId="4" borderId="5" xfId="0" applyFont="1" applyFill="1" applyBorder="1" applyAlignment="1">
      <alignment horizontal="center" wrapText="1"/>
    </xf>
    <xf numFmtId="0" fontId="5" fillId="4" borderId="6" xfId="0" applyFont="1" applyFill="1" applyBorder="1" applyAlignment="1">
      <alignment horizontal="center" wrapText="1"/>
    </xf>
    <xf numFmtId="0" fontId="5" fillId="4" borderId="7" xfId="0" applyFont="1" applyFill="1" applyBorder="1" applyAlignment="1">
      <alignment horizontal="center" wrapText="1"/>
    </xf>
    <xf numFmtId="0" fontId="5" fillId="5" borderId="5" xfId="0" applyFont="1" applyFill="1" applyBorder="1" applyAlignment="1">
      <alignment horizontal="center" wrapText="1"/>
    </xf>
    <xf numFmtId="0" fontId="5" fillId="5" borderId="6" xfId="0" applyFont="1" applyFill="1" applyBorder="1" applyAlignment="1">
      <alignment horizontal="center" wrapText="1"/>
    </xf>
    <xf numFmtId="0" fontId="5" fillId="5" borderId="7" xfId="0" applyFont="1" applyFill="1" applyBorder="1" applyAlignment="1">
      <alignment horizontal="center" wrapText="1"/>
    </xf>
    <xf numFmtId="0" fontId="5" fillId="6" borderId="5" xfId="0" applyFont="1" applyFill="1" applyBorder="1" applyAlignment="1">
      <alignment horizontal="center" wrapText="1"/>
    </xf>
    <xf numFmtId="0" fontId="5" fillId="6" borderId="6" xfId="0" applyFont="1" applyFill="1" applyBorder="1" applyAlignment="1">
      <alignment horizontal="center" wrapText="1"/>
    </xf>
    <xf numFmtId="0" fontId="5" fillId="6" borderId="7" xfId="0" applyFont="1" applyFill="1" applyBorder="1" applyAlignment="1">
      <alignment horizontal="center" wrapText="1"/>
    </xf>
    <xf numFmtId="0" fontId="5" fillId="7" borderId="5" xfId="0" applyFont="1" applyFill="1" applyBorder="1" applyAlignment="1">
      <alignment horizontal="center" wrapText="1"/>
    </xf>
    <xf numFmtId="0" fontId="5" fillId="7" borderId="6" xfId="0" applyFont="1" applyFill="1" applyBorder="1" applyAlignment="1">
      <alignment horizontal="center" wrapText="1"/>
    </xf>
    <xf numFmtId="0" fontId="5" fillId="7" borderId="7" xfId="0" applyFont="1" applyFill="1" applyBorder="1" applyAlignment="1">
      <alignment horizontal="center" wrapText="1"/>
    </xf>
    <xf numFmtId="0" fontId="0" fillId="0" borderId="0" xfId="0" applyAlignment="1">
      <alignment horizontal="right"/>
    </xf>
  </cellXfs>
  <cellStyles count="3">
    <cellStyle name="Moneda" xfId="1" builtinId="4"/>
    <cellStyle name="Normal" xfId="0" builtinId="0"/>
    <cellStyle name="Porcentaje" xfId="2" builtinId="5"/>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416F-1550-4602-A977-51D376A72FDA}">
  <dimension ref="A1:AA19"/>
  <sheetViews>
    <sheetView tabSelected="1" workbookViewId="0">
      <selection activeCell="A2" sqref="A2:U14"/>
    </sheetView>
  </sheetViews>
  <sheetFormatPr baseColWidth="10" defaultRowHeight="15" x14ac:dyDescent="0.25"/>
  <cols>
    <col min="1" max="1" width="4.42578125" customWidth="1"/>
    <col min="2" max="2" width="9.5703125" style="17" hidden="1" customWidth="1"/>
    <col min="3" max="3" width="14.28515625" customWidth="1"/>
    <col min="4" max="4" width="44.7109375" hidden="1" customWidth="1"/>
    <col min="5" max="5" width="7.85546875" bestFit="1" customWidth="1"/>
    <col min="6" max="6" width="10.85546875" hidden="1" customWidth="1"/>
    <col min="7" max="7" width="10" hidden="1" customWidth="1"/>
    <col min="8" max="8" width="10.85546875" hidden="1" customWidth="1"/>
    <col min="9" max="9" width="16.140625" customWidth="1"/>
    <col min="10" max="11" width="10" hidden="1" customWidth="1"/>
    <col min="12" max="12" width="10.85546875" hidden="1" customWidth="1"/>
    <col min="13" max="13" width="13.7109375" customWidth="1"/>
    <col min="14" max="15" width="10" hidden="1" customWidth="1"/>
    <col min="16" max="16" width="10.85546875" hidden="1" customWidth="1"/>
    <col min="17" max="17" width="14" customWidth="1"/>
    <col min="18" max="18" width="10.85546875" hidden="1" customWidth="1"/>
    <col min="19" max="19" width="10" hidden="1" customWidth="1"/>
    <col min="20" max="20" width="10.85546875" hidden="1" customWidth="1"/>
    <col min="21" max="21" width="14.85546875" bestFit="1" customWidth="1"/>
    <col min="22" max="22" width="14.140625" customWidth="1"/>
    <col min="23" max="24" width="11.7109375" bestFit="1" customWidth="1"/>
    <col min="25" max="25" width="10" bestFit="1" customWidth="1"/>
    <col min="27" max="27" width="13" bestFit="1" customWidth="1"/>
    <col min="28" max="28" width="14.5703125" bestFit="1" customWidth="1"/>
  </cols>
  <sheetData>
    <row r="1" spans="1:27" ht="15.75" thickBot="1" x14ac:dyDescent="0.3"/>
    <row r="2" spans="1:27" ht="15.75" thickBot="1" x14ac:dyDescent="0.3">
      <c r="A2" s="3"/>
      <c r="B2" s="4"/>
      <c r="C2" s="4"/>
      <c r="D2" s="5"/>
      <c r="E2" s="5"/>
      <c r="F2" s="51" t="s">
        <v>37</v>
      </c>
      <c r="G2" s="52"/>
      <c r="H2" s="52"/>
      <c r="I2" s="53"/>
      <c r="J2" s="54" t="s">
        <v>38</v>
      </c>
      <c r="K2" s="55"/>
      <c r="L2" s="55"/>
      <c r="M2" s="56"/>
      <c r="N2" s="57" t="s">
        <v>39</v>
      </c>
      <c r="O2" s="58"/>
      <c r="P2" s="58"/>
      <c r="Q2" s="59"/>
      <c r="R2" s="60" t="s">
        <v>40</v>
      </c>
      <c r="S2" s="61"/>
      <c r="T2" s="61"/>
      <c r="U2" s="62"/>
    </row>
    <row r="3" spans="1:27" ht="33.75" x14ac:dyDescent="0.25">
      <c r="A3" s="6" t="s">
        <v>0</v>
      </c>
      <c r="B3" s="6" t="s">
        <v>1</v>
      </c>
      <c r="C3" s="6" t="s">
        <v>2</v>
      </c>
      <c r="D3" s="7" t="s">
        <v>3</v>
      </c>
      <c r="E3" s="18" t="s">
        <v>4</v>
      </c>
      <c r="F3" s="21" t="s">
        <v>6</v>
      </c>
      <c r="G3" s="6" t="s">
        <v>5</v>
      </c>
      <c r="H3" s="6" t="s">
        <v>7</v>
      </c>
      <c r="I3" s="22" t="s">
        <v>8</v>
      </c>
      <c r="J3" s="21" t="s">
        <v>6</v>
      </c>
      <c r="K3" s="6" t="s">
        <v>5</v>
      </c>
      <c r="L3" s="6" t="s">
        <v>7</v>
      </c>
      <c r="M3" s="22" t="s">
        <v>8</v>
      </c>
      <c r="N3" s="21" t="s">
        <v>6</v>
      </c>
      <c r="O3" s="6" t="s">
        <v>5</v>
      </c>
      <c r="P3" s="6" t="s">
        <v>7</v>
      </c>
      <c r="Q3" s="22" t="s">
        <v>8</v>
      </c>
      <c r="R3" s="21" t="s">
        <v>6</v>
      </c>
      <c r="S3" s="6" t="s">
        <v>5</v>
      </c>
      <c r="T3" s="6" t="s">
        <v>7</v>
      </c>
      <c r="U3" s="18" t="s">
        <v>8</v>
      </c>
      <c r="V3" s="40" t="s">
        <v>41</v>
      </c>
      <c r="W3" s="44" t="s">
        <v>43</v>
      </c>
      <c r="X3" s="43" t="s">
        <v>44</v>
      </c>
      <c r="Y3" s="46" t="s">
        <v>42</v>
      </c>
      <c r="Z3" s="43" t="s">
        <v>45</v>
      </c>
    </row>
    <row r="4" spans="1:27" ht="23.25" customHeight="1" x14ac:dyDescent="0.25">
      <c r="A4" s="10">
        <v>1</v>
      </c>
      <c r="B4" s="15" t="s">
        <v>15</v>
      </c>
      <c r="C4" s="11" t="s">
        <v>16</v>
      </c>
      <c r="D4" s="11" t="s">
        <v>9</v>
      </c>
      <c r="E4" s="19">
        <v>9</v>
      </c>
      <c r="F4" s="23">
        <v>176753.64882795227</v>
      </c>
      <c r="G4" s="8">
        <f>F4*19%</f>
        <v>33583.193277310929</v>
      </c>
      <c r="H4" s="8">
        <f>F4+G4</f>
        <v>210336.8421052632</v>
      </c>
      <c r="I4" s="24">
        <f>H4*E4</f>
        <v>1893031.5789473688</v>
      </c>
      <c r="J4" s="31">
        <v>0</v>
      </c>
      <c r="K4" s="32"/>
      <c r="L4" s="32">
        <f>J4+K4</f>
        <v>0</v>
      </c>
      <c r="M4" s="33">
        <f>L4*E4</f>
        <v>0</v>
      </c>
      <c r="N4" s="31">
        <v>0</v>
      </c>
      <c r="O4" s="32"/>
      <c r="P4" s="32">
        <f>N4+O4</f>
        <v>0</v>
      </c>
      <c r="Q4" s="33">
        <f>P4*E4</f>
        <v>0</v>
      </c>
      <c r="R4" s="23">
        <v>117920</v>
      </c>
      <c r="S4" s="8">
        <f>R4*19%</f>
        <v>22404.799999999999</v>
      </c>
      <c r="T4" s="8">
        <f>R4+S4</f>
        <v>140324.79999999999</v>
      </c>
      <c r="U4" s="37">
        <f>T4*E4</f>
        <v>1262923.2</v>
      </c>
      <c r="V4" s="41">
        <f>AVERAGE(I4,U4)</f>
        <v>1577977.3894736844</v>
      </c>
      <c r="W4" s="41">
        <f>MEDIAN(I4,U4)</f>
        <v>1577977.3894736844</v>
      </c>
      <c r="X4" s="41">
        <f>STDEV(I4,U4)</f>
        <v>445553.90763614769</v>
      </c>
      <c r="Y4" s="47">
        <f>X4/V4</f>
        <v>0.2823575994233713</v>
      </c>
      <c r="Z4" s="48">
        <v>43211701</v>
      </c>
    </row>
    <row r="5" spans="1:27" ht="20.25" customHeight="1" x14ac:dyDescent="0.25">
      <c r="A5" s="10">
        <v>2</v>
      </c>
      <c r="B5" s="15" t="s">
        <v>15</v>
      </c>
      <c r="C5" s="11" t="s">
        <v>17</v>
      </c>
      <c r="D5" s="2" t="s">
        <v>18</v>
      </c>
      <c r="E5" s="19">
        <v>5</v>
      </c>
      <c r="F5" s="23">
        <v>5299663.5706914347</v>
      </c>
      <c r="G5" s="8">
        <f t="shared" ref="G5:G13" si="0">F5*19%</f>
        <v>1006936.0784313726</v>
      </c>
      <c r="H5" s="8">
        <f t="shared" ref="H5:H13" si="1">F5+G5</f>
        <v>6306599.6491228072</v>
      </c>
      <c r="I5" s="24">
        <f t="shared" ref="I5:I13" si="2">H5*E5</f>
        <v>31532998.245614037</v>
      </c>
      <c r="J5" s="23">
        <v>2947070</v>
      </c>
      <c r="K5" s="8">
        <f>J5*19%</f>
        <v>559943.30000000005</v>
      </c>
      <c r="L5" s="8">
        <f>J5+K5</f>
        <v>3507013.3</v>
      </c>
      <c r="M5" s="24">
        <f>L5*E5</f>
        <v>17535066.5</v>
      </c>
      <c r="N5" s="23">
        <v>8288000</v>
      </c>
      <c r="O5" s="8">
        <f t="shared" ref="O5:O9" si="3">N5*19%</f>
        <v>1574720</v>
      </c>
      <c r="P5" s="8">
        <f t="shared" ref="P5:P13" si="4">N5+O5</f>
        <v>9862720</v>
      </c>
      <c r="Q5" s="24">
        <f>P5*E5</f>
        <v>49313600</v>
      </c>
      <c r="R5" s="23">
        <v>2700000</v>
      </c>
      <c r="S5" s="8">
        <f t="shared" ref="S5:S13" si="5">R5*19%</f>
        <v>513000</v>
      </c>
      <c r="T5" s="8">
        <f t="shared" ref="T5:T13" si="6">R5+S5</f>
        <v>3213000</v>
      </c>
      <c r="U5" s="37">
        <f>T5*E5</f>
        <v>16065000</v>
      </c>
      <c r="V5" s="41">
        <f>AVERAGE(I5,M5,Q5,U5)</f>
        <v>28611666.186403509</v>
      </c>
      <c r="W5" s="41">
        <f>MEDIAN(I5,M5,Q5,U5)</f>
        <v>24534032.372807018</v>
      </c>
      <c r="X5" s="41">
        <f>STDEV(I5:U5)</f>
        <v>14500687.047610031</v>
      </c>
      <c r="Y5" s="47">
        <f t="shared" ref="Y5:Y12" si="7">X5/V5</f>
        <v>0.5068102973499975</v>
      </c>
      <c r="Z5" s="48"/>
      <c r="AA5" s="9">
        <f>E5*J5</f>
        <v>14735350</v>
      </c>
    </row>
    <row r="6" spans="1:27" ht="22.5" customHeight="1" x14ac:dyDescent="0.25">
      <c r="A6" s="10">
        <v>3</v>
      </c>
      <c r="B6" s="15" t="s">
        <v>15</v>
      </c>
      <c r="C6" s="11" t="s">
        <v>19</v>
      </c>
      <c r="D6" s="12" t="s">
        <v>20</v>
      </c>
      <c r="E6" s="19">
        <v>3</v>
      </c>
      <c r="F6" s="23">
        <v>3358319.3277310925</v>
      </c>
      <c r="G6" s="8">
        <f t="shared" si="0"/>
        <v>638080.67226890754</v>
      </c>
      <c r="H6" s="8">
        <f t="shared" si="1"/>
        <v>3996400</v>
      </c>
      <c r="I6" s="24">
        <f t="shared" si="2"/>
        <v>11989200</v>
      </c>
      <c r="J6" s="23">
        <v>1952742.22</v>
      </c>
      <c r="K6" s="8">
        <v>1952742.22</v>
      </c>
      <c r="L6" s="8">
        <f t="shared" ref="L5:L13" si="8">J6+K6</f>
        <v>3905484.44</v>
      </c>
      <c r="M6" s="24">
        <f>L6*E6</f>
        <v>11716453.32</v>
      </c>
      <c r="N6" s="23">
        <v>1674200</v>
      </c>
      <c r="O6" s="8">
        <f t="shared" si="3"/>
        <v>318098</v>
      </c>
      <c r="P6" s="8">
        <f t="shared" si="4"/>
        <v>1992298</v>
      </c>
      <c r="Q6" s="24">
        <f>P6*E6</f>
        <v>5976894</v>
      </c>
      <c r="R6" s="23">
        <v>2310000</v>
      </c>
      <c r="S6" s="8">
        <f t="shared" si="5"/>
        <v>438900</v>
      </c>
      <c r="T6" s="8">
        <f t="shared" si="6"/>
        <v>2748900</v>
      </c>
      <c r="U6" s="37">
        <f>T6*E6</f>
        <v>8246700</v>
      </c>
      <c r="V6" s="41">
        <f>AVERAGE(I6,M6,Q6,U6)</f>
        <v>9482311.8300000001</v>
      </c>
      <c r="W6" s="41">
        <f>MEDIAN(I6,M6,Q6,U6)</f>
        <v>9981576.6600000001</v>
      </c>
      <c r="X6" s="41">
        <f>STDEV(I6:U6)</f>
        <v>4010460.6676649717</v>
      </c>
      <c r="Y6" s="47">
        <f t="shared" si="7"/>
        <v>0.42294123411726819</v>
      </c>
      <c r="Z6" s="48">
        <v>43212100</v>
      </c>
      <c r="AA6" s="9">
        <f>E6*J6</f>
        <v>5858226.6600000001</v>
      </c>
    </row>
    <row r="7" spans="1:27" ht="30" customHeight="1" x14ac:dyDescent="0.25">
      <c r="A7" s="10">
        <v>5</v>
      </c>
      <c r="B7" s="15" t="s">
        <v>15</v>
      </c>
      <c r="C7" s="11" t="s">
        <v>22</v>
      </c>
      <c r="D7" s="2" t="s">
        <v>11</v>
      </c>
      <c r="E7" s="19">
        <v>134</v>
      </c>
      <c r="F7" s="23">
        <v>6841838.5528070182</v>
      </c>
      <c r="G7" s="8">
        <f t="shared" si="0"/>
        <v>1299949.3250333334</v>
      </c>
      <c r="H7" s="8">
        <f t="shared" si="1"/>
        <v>8141787.8778403513</v>
      </c>
      <c r="I7" s="24">
        <f t="shared" si="2"/>
        <v>1090999575.6306071</v>
      </c>
      <c r="J7" s="30">
        <f>(990.92*4342.9)+(33.33*4342.9)</f>
        <v>4448215.3249999993</v>
      </c>
      <c r="K7" s="8">
        <f t="shared" ref="K7:K13" si="9">J7*19%</f>
        <v>845160.91174999985</v>
      </c>
      <c r="L7" s="8">
        <f t="shared" si="8"/>
        <v>5293376.2367499992</v>
      </c>
      <c r="M7" s="24">
        <f>E7*L7</f>
        <v>709312415.72449994</v>
      </c>
      <c r="N7" s="23">
        <v>4283000</v>
      </c>
      <c r="O7" s="8">
        <f t="shared" si="3"/>
        <v>813770</v>
      </c>
      <c r="P7" s="8">
        <f t="shared" si="4"/>
        <v>5096770</v>
      </c>
      <c r="Q7" s="24">
        <f>P7*E7</f>
        <v>682967180</v>
      </c>
      <c r="R7" s="23">
        <v>4152000</v>
      </c>
      <c r="S7" s="8">
        <f t="shared" si="5"/>
        <v>788880</v>
      </c>
      <c r="T7" s="8">
        <f t="shared" si="6"/>
        <v>4940880</v>
      </c>
      <c r="U7" s="37">
        <f>T7*E7</f>
        <v>662077920</v>
      </c>
      <c r="V7" s="41">
        <f>AVERAGE(I7,M7,Q7,U7)</f>
        <v>786339272.83877683</v>
      </c>
      <c r="W7" s="41">
        <f>MEDIAN(I7,M7,Q7,U7)</f>
        <v>696139797.86224997</v>
      </c>
      <c r="X7" s="41">
        <f>STDEV(I7:U7)</f>
        <v>389700815.93913943</v>
      </c>
      <c r="Y7" s="47">
        <f t="shared" si="7"/>
        <v>0.49558864652947304</v>
      </c>
      <c r="Z7" s="48">
        <v>43211507</v>
      </c>
    </row>
    <row r="8" spans="1:27" ht="21.75" customHeight="1" x14ac:dyDescent="0.25">
      <c r="A8" s="10">
        <v>6</v>
      </c>
      <c r="B8" s="15" t="s">
        <v>15</v>
      </c>
      <c r="C8" s="11" t="s">
        <v>23</v>
      </c>
      <c r="D8" s="2" t="s">
        <v>12</v>
      </c>
      <c r="E8" s="19">
        <v>15</v>
      </c>
      <c r="F8" s="23">
        <v>6576708.9633333338</v>
      </c>
      <c r="G8" s="8">
        <f t="shared" si="0"/>
        <v>1249574.7030333334</v>
      </c>
      <c r="H8" s="8">
        <f t="shared" si="1"/>
        <v>7826283.6663666675</v>
      </c>
      <c r="I8" s="24">
        <f t="shared" si="2"/>
        <v>117394254.99550001</v>
      </c>
      <c r="J8" s="23">
        <f>4044488.89+(47.48*4342.9)</f>
        <v>4250689.7819999997</v>
      </c>
      <c r="K8" s="8">
        <f t="shared" si="9"/>
        <v>807631.05857999995</v>
      </c>
      <c r="L8" s="8">
        <f t="shared" si="8"/>
        <v>5058320.8405799996</v>
      </c>
      <c r="M8" s="24">
        <f>E8*L8</f>
        <v>75874812.608699992</v>
      </c>
      <c r="N8" s="23">
        <v>4110555</v>
      </c>
      <c r="O8" s="8">
        <f t="shared" si="3"/>
        <v>781005.45</v>
      </c>
      <c r="P8" s="8">
        <f t="shared" si="4"/>
        <v>4891560.45</v>
      </c>
      <c r="Q8" s="24">
        <f>P8*E8</f>
        <v>73373406.75</v>
      </c>
      <c r="R8" s="23">
        <v>4764000</v>
      </c>
      <c r="S8" s="8">
        <f t="shared" si="5"/>
        <v>905160</v>
      </c>
      <c r="T8" s="8">
        <f t="shared" si="6"/>
        <v>5669160</v>
      </c>
      <c r="U8" s="37">
        <f>T8*E8</f>
        <v>85037400</v>
      </c>
      <c r="V8" s="41">
        <f>AVERAGE(I8,M8,Q8,U8)</f>
        <v>87919968.588550001</v>
      </c>
      <c r="W8" s="41">
        <f>MEDIAN(I8,M8,Q8,U8)</f>
        <v>80456106.304349989</v>
      </c>
      <c r="X8" s="41">
        <f>STDEV(I8:U8)</f>
        <v>41848809.834773205</v>
      </c>
      <c r="Y8" s="47">
        <f t="shared" si="7"/>
        <v>0.47598754306451452</v>
      </c>
      <c r="Z8" s="48">
        <v>43211503</v>
      </c>
    </row>
    <row r="9" spans="1:27" ht="27.75" customHeight="1" x14ac:dyDescent="0.25">
      <c r="A9" s="10">
        <v>7</v>
      </c>
      <c r="B9" s="15" t="s">
        <v>15</v>
      </c>
      <c r="C9" s="11" t="s">
        <v>24</v>
      </c>
      <c r="D9" s="2" t="s">
        <v>25</v>
      </c>
      <c r="E9" s="19">
        <v>1</v>
      </c>
      <c r="F9" s="23">
        <v>17806457.172342621</v>
      </c>
      <c r="G9" s="8">
        <f t="shared" si="0"/>
        <v>3383226.8627450978</v>
      </c>
      <c r="H9" s="8">
        <f t="shared" si="1"/>
        <v>21189684.03508772</v>
      </c>
      <c r="I9" s="24">
        <f t="shared" si="2"/>
        <v>21189684.03508772</v>
      </c>
      <c r="J9" s="23">
        <v>9241055.5600000005</v>
      </c>
      <c r="K9" s="8">
        <f t="shared" si="9"/>
        <v>1755800.5564000001</v>
      </c>
      <c r="L9" s="8">
        <f t="shared" si="8"/>
        <v>10996856.1164</v>
      </c>
      <c r="M9" s="24">
        <f>E9*L9</f>
        <v>10996856.1164</v>
      </c>
      <c r="N9" s="23">
        <v>9467734</v>
      </c>
      <c r="O9" s="8">
        <f t="shared" si="3"/>
        <v>1798869.46</v>
      </c>
      <c r="P9" s="8">
        <f t="shared" si="4"/>
        <v>11266603.460000001</v>
      </c>
      <c r="Q9" s="24">
        <f>P9*E9</f>
        <v>11266603.460000001</v>
      </c>
      <c r="R9" s="23">
        <v>11250000</v>
      </c>
      <c r="S9" s="8">
        <f t="shared" si="5"/>
        <v>2137500</v>
      </c>
      <c r="T9" s="8">
        <f t="shared" si="6"/>
        <v>13387500</v>
      </c>
      <c r="U9" s="37">
        <f>T9*E9</f>
        <v>13387500</v>
      </c>
      <c r="V9" s="41">
        <f>AVERAGE(I9,M9,Q9,U9)</f>
        <v>14210160.902871929</v>
      </c>
      <c r="W9" s="41">
        <f>MEDIAN(I9,M9,Q9,U9)</f>
        <v>12327051.73</v>
      </c>
      <c r="X9" s="41">
        <f>STDEV(I9:U9)</f>
        <v>5420301.6564189279</v>
      </c>
      <c r="Y9" s="47">
        <f t="shared" si="7"/>
        <v>0.38143844348190764</v>
      </c>
      <c r="Z9" s="48">
        <v>43211503</v>
      </c>
    </row>
    <row r="10" spans="1:27" ht="16.5" customHeight="1" x14ac:dyDescent="0.25">
      <c r="A10" s="10">
        <v>8</v>
      </c>
      <c r="B10" s="15" t="s">
        <v>15</v>
      </c>
      <c r="C10" s="11" t="s">
        <v>26</v>
      </c>
      <c r="D10" s="2" t="s">
        <v>27</v>
      </c>
      <c r="E10" s="19">
        <v>20</v>
      </c>
      <c r="F10" s="23">
        <v>1472947.0735662687</v>
      </c>
      <c r="G10" s="8">
        <f t="shared" si="0"/>
        <v>279859.94397759106</v>
      </c>
      <c r="H10" s="8">
        <f t="shared" si="1"/>
        <v>1752807.0175438598</v>
      </c>
      <c r="I10" s="24">
        <f t="shared" si="2"/>
        <v>35056140.350877196</v>
      </c>
      <c r="J10" s="30">
        <f>282.8*4342.9</f>
        <v>1228172.1199999999</v>
      </c>
      <c r="K10" s="8">
        <f t="shared" si="9"/>
        <v>233352.70279999997</v>
      </c>
      <c r="L10" s="8">
        <f t="shared" si="8"/>
        <v>1461524.8227999997</v>
      </c>
      <c r="M10" s="24">
        <f>E10*L10</f>
        <v>29230496.455999993</v>
      </c>
      <c r="N10" s="31">
        <v>0</v>
      </c>
      <c r="O10" s="32"/>
      <c r="P10" s="32">
        <f t="shared" si="4"/>
        <v>0</v>
      </c>
      <c r="Q10" s="33">
        <f>P10*E10</f>
        <v>0</v>
      </c>
      <c r="R10" s="23">
        <v>1496000</v>
      </c>
      <c r="S10" s="8">
        <f t="shared" si="5"/>
        <v>284240</v>
      </c>
      <c r="T10" s="8">
        <f t="shared" si="6"/>
        <v>1780240</v>
      </c>
      <c r="U10" s="37">
        <f>T10*E10</f>
        <v>35604800</v>
      </c>
      <c r="V10" s="41">
        <f>AVERAGE(I10,M10,U10)</f>
        <v>33297145.6022924</v>
      </c>
      <c r="W10" s="41">
        <f>MEDIAN(I10,M10,U10)</f>
        <v>35056140.350877196</v>
      </c>
      <c r="X10" s="41">
        <f>STDEV(I10,M10,U10)</f>
        <v>3532489.6761242542</v>
      </c>
      <c r="Y10" s="47">
        <f t="shared" si="7"/>
        <v>0.10608986482856518</v>
      </c>
      <c r="Z10" s="48">
        <v>43211509</v>
      </c>
    </row>
    <row r="11" spans="1:27" ht="23.25" customHeight="1" x14ac:dyDescent="0.25">
      <c r="A11" s="10">
        <v>9</v>
      </c>
      <c r="B11" s="15" t="s">
        <v>15</v>
      </c>
      <c r="C11" s="11" t="s">
        <v>28</v>
      </c>
      <c r="D11" s="1" t="s">
        <v>29</v>
      </c>
      <c r="E11" s="19">
        <v>4</v>
      </c>
      <c r="F11" s="23">
        <v>667819.47368421056</v>
      </c>
      <c r="G11" s="8">
        <f t="shared" si="0"/>
        <v>126885.70000000001</v>
      </c>
      <c r="H11" s="8">
        <f t="shared" si="1"/>
        <v>794705.17368421052</v>
      </c>
      <c r="I11" s="24">
        <f t="shared" si="2"/>
        <v>3178820.6947368421</v>
      </c>
      <c r="J11" s="30">
        <f>75*4342.9</f>
        <v>325717.5</v>
      </c>
      <c r="K11" s="8">
        <f t="shared" si="9"/>
        <v>61886.324999999997</v>
      </c>
      <c r="L11" s="8">
        <f t="shared" si="8"/>
        <v>387603.82500000001</v>
      </c>
      <c r="M11" s="24">
        <f>E11*L11</f>
        <v>1550415.3</v>
      </c>
      <c r="N11" s="23">
        <v>467405</v>
      </c>
      <c r="O11" s="8">
        <f>N11*19%</f>
        <v>88806.95</v>
      </c>
      <c r="P11" s="8">
        <f t="shared" si="4"/>
        <v>556211.94999999995</v>
      </c>
      <c r="Q11" s="24">
        <f>P11*E11</f>
        <v>2224847.7999999998</v>
      </c>
      <c r="R11" s="23">
        <v>364650</v>
      </c>
      <c r="S11" s="8">
        <f t="shared" si="5"/>
        <v>69283.5</v>
      </c>
      <c r="T11" s="8">
        <f t="shared" si="6"/>
        <v>433933.5</v>
      </c>
      <c r="U11" s="37">
        <f>T11*E11</f>
        <v>1735734</v>
      </c>
      <c r="V11" s="41">
        <f>AVERAGE(I11,M11,Q11,U11)</f>
        <v>2172454.4486842104</v>
      </c>
      <c r="W11" s="41">
        <f>MEDIAN(I11,M11,Q11,U11)</f>
        <v>1980290.9</v>
      </c>
      <c r="X11" s="41">
        <f>STDEV(I11:U11)</f>
        <v>979659.90718810889</v>
      </c>
      <c r="Y11" s="47">
        <f t="shared" si="7"/>
        <v>0.45094612123235039</v>
      </c>
      <c r="Z11" s="48">
        <v>43201800</v>
      </c>
    </row>
    <row r="12" spans="1:27" ht="14.25" customHeight="1" x14ac:dyDescent="0.25">
      <c r="A12" s="10">
        <v>12</v>
      </c>
      <c r="B12" s="15" t="s">
        <v>15</v>
      </c>
      <c r="C12" s="11" t="s">
        <v>34</v>
      </c>
      <c r="D12" s="14" t="s">
        <v>13</v>
      </c>
      <c r="E12" s="19">
        <v>50</v>
      </c>
      <c r="F12" s="23">
        <v>70701.223859649122</v>
      </c>
      <c r="G12" s="8">
        <f t="shared" si="0"/>
        <v>13433.232533333334</v>
      </c>
      <c r="H12" s="8">
        <f t="shared" si="1"/>
        <v>84134.456392982451</v>
      </c>
      <c r="I12" s="24">
        <f t="shared" si="2"/>
        <v>4206722.8196491227</v>
      </c>
      <c r="J12" s="31">
        <v>0</v>
      </c>
      <c r="K12" s="32">
        <f t="shared" si="9"/>
        <v>0</v>
      </c>
      <c r="L12" s="32">
        <f t="shared" si="8"/>
        <v>0</v>
      </c>
      <c r="M12" s="33">
        <f>E12*L12</f>
        <v>0</v>
      </c>
      <c r="N12" s="23">
        <v>28103</v>
      </c>
      <c r="O12" s="8">
        <f>N12*19%</f>
        <v>5339.57</v>
      </c>
      <c r="P12" s="8">
        <f t="shared" si="4"/>
        <v>33442.57</v>
      </c>
      <c r="Q12" s="24">
        <f>P12*E12</f>
        <v>1672128.5</v>
      </c>
      <c r="R12" s="23">
        <v>41800</v>
      </c>
      <c r="S12" s="8">
        <f t="shared" si="5"/>
        <v>7942</v>
      </c>
      <c r="T12" s="8">
        <f t="shared" si="6"/>
        <v>49742</v>
      </c>
      <c r="U12" s="37">
        <f>T12*E12</f>
        <v>2487100</v>
      </c>
      <c r="V12" s="41">
        <f>AVERAGE(I12,Q12,U12)</f>
        <v>2788650.4398830407</v>
      </c>
      <c r="W12" s="41">
        <f>MEDIAN(I12,Q12,U12)</f>
        <v>2487100</v>
      </c>
      <c r="X12" s="41">
        <f>STDEV(I12,Q12,U12)</f>
        <v>1293924.87886455</v>
      </c>
      <c r="Y12" s="47">
        <f t="shared" si="7"/>
        <v>0.46399679944067096</v>
      </c>
      <c r="Z12" s="48"/>
    </row>
    <row r="13" spans="1:27" ht="19.5" customHeight="1" thickBot="1" x14ac:dyDescent="0.3">
      <c r="A13" s="10">
        <v>13</v>
      </c>
      <c r="B13" s="15" t="s">
        <v>15</v>
      </c>
      <c r="C13" s="11" t="s">
        <v>35</v>
      </c>
      <c r="D13" s="14" t="s">
        <v>14</v>
      </c>
      <c r="E13" s="19">
        <v>250</v>
      </c>
      <c r="F13" s="25">
        <v>40139.280701754389</v>
      </c>
      <c r="G13" s="26">
        <f t="shared" si="0"/>
        <v>7626.463333333334</v>
      </c>
      <c r="H13" s="26">
        <f t="shared" si="1"/>
        <v>47765.744035087722</v>
      </c>
      <c r="I13" s="27">
        <f t="shared" si="2"/>
        <v>11941436.00877193</v>
      </c>
      <c r="J13" s="34">
        <v>0</v>
      </c>
      <c r="K13" s="35">
        <f t="shared" si="9"/>
        <v>0</v>
      </c>
      <c r="L13" s="35">
        <f t="shared" si="8"/>
        <v>0</v>
      </c>
      <c r="M13" s="36">
        <f>E13*L13</f>
        <v>0</v>
      </c>
      <c r="N13" s="25">
        <v>13000</v>
      </c>
      <c r="O13" s="26">
        <f>N13*19%</f>
        <v>2470</v>
      </c>
      <c r="P13" s="26">
        <f t="shared" si="4"/>
        <v>15470</v>
      </c>
      <c r="Q13" s="27">
        <f>P13*E13</f>
        <v>3867500</v>
      </c>
      <c r="R13" s="25">
        <v>9000</v>
      </c>
      <c r="S13" s="26">
        <f t="shared" si="5"/>
        <v>1710</v>
      </c>
      <c r="T13" s="26">
        <f t="shared" si="6"/>
        <v>10710</v>
      </c>
      <c r="U13" s="38">
        <f>T13*E13</f>
        <v>2677500</v>
      </c>
      <c r="V13" s="41">
        <f>AVERAGE(I13,Q13,U13,)</f>
        <v>4621609.0021929825</v>
      </c>
      <c r="W13" s="41">
        <f>MEDIAN(I13,Q13,U13)</f>
        <v>3867500</v>
      </c>
      <c r="X13" s="41">
        <f>STDEV(I13,Q13,U13)</f>
        <v>5040255.500275841</v>
      </c>
      <c r="Y13" s="47">
        <f>X13/V13</f>
        <v>1.0905845773375047</v>
      </c>
      <c r="Z13" s="48">
        <v>43223300</v>
      </c>
    </row>
    <row r="14" spans="1:27" ht="15.75" thickBot="1" x14ac:dyDescent="0.3">
      <c r="A14" s="28"/>
      <c r="B14" s="63" t="s">
        <v>36</v>
      </c>
      <c r="C14" s="63"/>
      <c r="D14" s="63"/>
      <c r="E14" s="63"/>
      <c r="F14" s="63"/>
      <c r="G14" s="63"/>
      <c r="H14" s="63"/>
      <c r="I14" s="29">
        <f>SUM(I4:I13)</f>
        <v>1329381864.3597918</v>
      </c>
      <c r="M14" s="29">
        <f>SUM(M4:M13)</f>
        <v>856216516.02559996</v>
      </c>
      <c r="Q14" s="29">
        <f>SUM(Q4:Q13)</f>
        <v>830662160.50999999</v>
      </c>
      <c r="U14" s="39">
        <f>SUM(U4:U13)</f>
        <v>828582577.20000005</v>
      </c>
      <c r="V14" s="42">
        <f>SUM(V4:V13)</f>
        <v>971021217.2291286</v>
      </c>
      <c r="W14" s="42">
        <f>SUM(W4:W13)</f>
        <v>868407573.56975782</v>
      </c>
      <c r="X14" s="42">
        <f>SUM(X4:X13)</f>
        <v>466772959.01569545</v>
      </c>
      <c r="Y14" s="45">
        <f>X14/V14</f>
        <v>0.48070315121193957</v>
      </c>
    </row>
    <row r="15" spans="1:27" x14ac:dyDescent="0.25">
      <c r="V15" s="9">
        <f>AVERAGE(I14:U14)</f>
        <v>961210779.52384782</v>
      </c>
      <c r="W15" s="9"/>
    </row>
    <row r="17" spans="17:17" x14ac:dyDescent="0.25">
      <c r="Q17" s="9"/>
    </row>
    <row r="19" spans="17:17" x14ac:dyDescent="0.25">
      <c r="Q19" s="9"/>
    </row>
  </sheetData>
  <mergeCells count="5">
    <mergeCell ref="F2:I2"/>
    <mergeCell ref="J2:M2"/>
    <mergeCell ref="N2:Q2"/>
    <mergeCell ref="R2:U2"/>
    <mergeCell ref="B14:H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EB5F-613E-4C41-9EB1-093499D137B6}">
  <dimension ref="A1:Z20"/>
  <sheetViews>
    <sheetView topLeftCell="D1" workbookViewId="0">
      <selection activeCell="C20" sqref="C20:E20"/>
    </sheetView>
  </sheetViews>
  <sheetFormatPr baseColWidth="10" defaultRowHeight="15" x14ac:dyDescent="0.25"/>
  <cols>
    <col min="1" max="1" width="4.42578125" customWidth="1"/>
    <col min="2" max="2" width="9.42578125" style="17" customWidth="1"/>
    <col min="3" max="3" width="14.28515625" customWidth="1"/>
    <col min="4" max="4" width="44.7109375" customWidth="1"/>
    <col min="6" max="8" width="0" hidden="1" customWidth="1"/>
    <col min="9" max="9" width="15.5703125" bestFit="1" customWidth="1"/>
    <col min="10" max="11" width="10" hidden="1" customWidth="1"/>
    <col min="12" max="12" width="10.85546875" hidden="1" customWidth="1"/>
    <col min="13" max="13" width="14.85546875" bestFit="1" customWidth="1"/>
    <col min="14" max="15" width="10" bestFit="1" customWidth="1"/>
    <col min="16" max="16" width="10.85546875" bestFit="1" customWidth="1"/>
    <col min="17" max="17" width="14.85546875" bestFit="1" customWidth="1"/>
    <col min="18" max="18" width="10.85546875" hidden="1" customWidth="1"/>
    <col min="19" max="19" width="10" hidden="1" customWidth="1"/>
    <col min="20" max="20" width="10.85546875" hidden="1" customWidth="1"/>
    <col min="21" max="21" width="15.42578125" customWidth="1"/>
    <col min="22" max="23" width="14" bestFit="1" customWidth="1"/>
  </cols>
  <sheetData>
    <row r="1" spans="1:26" ht="15.75" thickBot="1" x14ac:dyDescent="0.3"/>
    <row r="2" spans="1:26" ht="15.75" thickBot="1" x14ac:dyDescent="0.3">
      <c r="A2" s="3"/>
      <c r="B2" s="4"/>
      <c r="C2" s="4"/>
      <c r="D2" s="5"/>
      <c r="E2" s="5"/>
      <c r="F2" s="51" t="s">
        <v>37</v>
      </c>
      <c r="G2" s="52"/>
      <c r="H2" s="52"/>
      <c r="I2" s="53"/>
      <c r="J2" s="54" t="s">
        <v>38</v>
      </c>
      <c r="K2" s="55"/>
      <c r="L2" s="55"/>
      <c r="M2" s="56"/>
      <c r="N2" s="57" t="s">
        <v>39</v>
      </c>
      <c r="O2" s="58"/>
      <c r="P2" s="58"/>
      <c r="Q2" s="59"/>
      <c r="R2" s="60" t="s">
        <v>40</v>
      </c>
      <c r="S2" s="61"/>
      <c r="T2" s="61"/>
      <c r="U2" s="62"/>
    </row>
    <row r="3" spans="1:26" ht="33.75" x14ac:dyDescent="0.25">
      <c r="A3" s="6" t="s">
        <v>0</v>
      </c>
      <c r="B3" s="6" t="s">
        <v>1</v>
      </c>
      <c r="C3" s="6" t="s">
        <v>2</v>
      </c>
      <c r="D3" s="7" t="s">
        <v>3</v>
      </c>
      <c r="E3" s="18" t="s">
        <v>4</v>
      </c>
      <c r="F3" s="21" t="s">
        <v>6</v>
      </c>
      <c r="G3" s="6" t="s">
        <v>5</v>
      </c>
      <c r="H3" s="6" t="s">
        <v>7</v>
      </c>
      <c r="I3" s="22" t="s">
        <v>8</v>
      </c>
      <c r="J3" s="21" t="s">
        <v>6</v>
      </c>
      <c r="K3" s="6" t="s">
        <v>5</v>
      </c>
      <c r="L3" s="6" t="s">
        <v>7</v>
      </c>
      <c r="M3" s="22" t="s">
        <v>8</v>
      </c>
      <c r="N3" s="21" t="s">
        <v>6</v>
      </c>
      <c r="O3" s="6" t="s">
        <v>5</v>
      </c>
      <c r="P3" s="6" t="s">
        <v>7</v>
      </c>
      <c r="Q3" s="22" t="s">
        <v>8</v>
      </c>
      <c r="R3" s="21" t="s">
        <v>6</v>
      </c>
      <c r="S3" s="6" t="s">
        <v>5</v>
      </c>
      <c r="T3" s="6" t="s">
        <v>7</v>
      </c>
      <c r="U3" s="18" t="s">
        <v>8</v>
      </c>
      <c r="V3" s="40" t="s">
        <v>41</v>
      </c>
      <c r="W3" s="44" t="s">
        <v>43</v>
      </c>
      <c r="X3" s="43" t="s">
        <v>44</v>
      </c>
      <c r="Y3" s="46" t="s">
        <v>42</v>
      </c>
      <c r="Z3" s="43" t="s">
        <v>45</v>
      </c>
    </row>
    <row r="4" spans="1:26" ht="42.75" customHeight="1" x14ac:dyDescent="0.25">
      <c r="A4" s="10">
        <v>1</v>
      </c>
      <c r="B4" s="15" t="s">
        <v>15</v>
      </c>
      <c r="C4" s="11" t="s">
        <v>16</v>
      </c>
      <c r="D4" s="11" t="s">
        <v>9</v>
      </c>
      <c r="E4" s="19">
        <v>9</v>
      </c>
      <c r="F4" s="23">
        <v>176753.64882795227</v>
      </c>
      <c r="G4" s="8">
        <f>F4*19%</f>
        <v>33583.193277310929</v>
      </c>
      <c r="H4" s="8">
        <f>F4+G4</f>
        <v>210336.8421052632</v>
      </c>
      <c r="I4" s="24">
        <f>H4*E4</f>
        <v>1893031.5789473688</v>
      </c>
      <c r="J4" s="31">
        <v>0</v>
      </c>
      <c r="K4" s="32"/>
      <c r="L4" s="32">
        <f>J4+K4</f>
        <v>0</v>
      </c>
      <c r="M4" s="33">
        <f>L4*I4</f>
        <v>0</v>
      </c>
      <c r="N4" s="31">
        <v>0</v>
      </c>
      <c r="O4" s="32"/>
      <c r="P4" s="32">
        <f>N4+O4</f>
        <v>0</v>
      </c>
      <c r="Q4" s="33">
        <f>P4*M4</f>
        <v>0</v>
      </c>
      <c r="R4" s="23">
        <v>117920</v>
      </c>
      <c r="S4" s="8">
        <f>R4*19%</f>
        <v>22404.799999999999</v>
      </c>
      <c r="T4" s="8">
        <f>R4+S4</f>
        <v>140324.79999999999</v>
      </c>
      <c r="U4" s="37">
        <f>T4*E4</f>
        <v>1262923.2</v>
      </c>
      <c r="V4" s="41">
        <f>AVERAGE(I4,U4)</f>
        <v>1577977.3894736844</v>
      </c>
      <c r="W4" s="41">
        <f>MEDIAN(I4,U4)</f>
        <v>1577977.3894736844</v>
      </c>
      <c r="X4" s="41">
        <f>STDEV(I4,U4)</f>
        <v>445553.90763614769</v>
      </c>
      <c r="Y4" s="47">
        <f>X4/V4</f>
        <v>0.2823575994233713</v>
      </c>
      <c r="Z4" s="48">
        <v>43211701</v>
      </c>
    </row>
    <row r="5" spans="1:26" ht="32.25" customHeight="1" x14ac:dyDescent="0.25">
      <c r="A5" s="10">
        <v>2</v>
      </c>
      <c r="B5" s="15" t="s">
        <v>15</v>
      </c>
      <c r="C5" s="11" t="s">
        <v>17</v>
      </c>
      <c r="D5" s="2" t="s">
        <v>18</v>
      </c>
      <c r="E5" s="19">
        <v>5</v>
      </c>
      <c r="F5" s="23">
        <v>5299663.5706914347</v>
      </c>
      <c r="G5" s="8">
        <f t="shared" ref="G5:G12" si="0">F5*19%</f>
        <v>1006936.0784313726</v>
      </c>
      <c r="H5" s="8">
        <f t="shared" ref="H5:H12" si="1">F5+G5</f>
        <v>6306599.6491228072</v>
      </c>
      <c r="I5" s="24">
        <f t="shared" ref="I5:I12" si="2">H5*E5</f>
        <v>31532998.245614037</v>
      </c>
      <c r="J5" s="23">
        <v>2947070</v>
      </c>
      <c r="K5" s="8">
        <f>J5*19%</f>
        <v>559943.30000000005</v>
      </c>
      <c r="L5" s="8">
        <f t="shared" ref="L5:L12" si="3">J5+K5</f>
        <v>3507013.3</v>
      </c>
      <c r="M5" s="24">
        <f>L5*E5</f>
        <v>17535066.5</v>
      </c>
      <c r="N5" s="23">
        <v>8288000</v>
      </c>
      <c r="O5" s="8">
        <f t="shared" ref="O5:O9" si="4">N5*19%</f>
        <v>1574720</v>
      </c>
      <c r="P5" s="8">
        <f t="shared" ref="P5:P12" si="5">N5+O5</f>
        <v>9862720</v>
      </c>
      <c r="Q5" s="24">
        <f t="shared" ref="Q5:Q9" si="6">P5*E5</f>
        <v>49313600</v>
      </c>
      <c r="R5" s="23">
        <v>2700000</v>
      </c>
      <c r="S5" s="8">
        <f t="shared" ref="S5:S12" si="7">R5*19%</f>
        <v>513000</v>
      </c>
      <c r="T5" s="8">
        <f t="shared" ref="T5:T12" si="8">R5+S5</f>
        <v>3213000</v>
      </c>
      <c r="U5" s="37">
        <f t="shared" ref="U5:U12" si="9">T5*E5</f>
        <v>16065000</v>
      </c>
      <c r="V5" s="41">
        <f t="shared" ref="V5:V9" si="10">AVERAGE(I5,M5,Q5,U5)</f>
        <v>28611666.186403509</v>
      </c>
      <c r="W5" s="41">
        <f>MEDIAN(I5,M5,Q5,U5)</f>
        <v>24534032.372807018</v>
      </c>
      <c r="X5" s="41">
        <f>STDEV(I5:U5)</f>
        <v>14500687.047610031</v>
      </c>
      <c r="Y5" s="47">
        <f t="shared" ref="Y5:Y11" si="11">X5/V5</f>
        <v>0.5068102973499975</v>
      </c>
      <c r="Z5" s="48"/>
    </row>
    <row r="6" spans="1:26" ht="33.75" customHeight="1" x14ac:dyDescent="0.25">
      <c r="A6" s="10">
        <v>3</v>
      </c>
      <c r="B6" s="15" t="s">
        <v>15</v>
      </c>
      <c r="C6" s="11" t="s">
        <v>19</v>
      </c>
      <c r="D6" s="12" t="s">
        <v>20</v>
      </c>
      <c r="E6" s="19">
        <v>3</v>
      </c>
      <c r="F6" s="23">
        <v>3358319.3277310925</v>
      </c>
      <c r="G6" s="8">
        <f t="shared" si="0"/>
        <v>638080.67226890754</v>
      </c>
      <c r="H6" s="8">
        <f t="shared" si="1"/>
        <v>3996400</v>
      </c>
      <c r="I6" s="24">
        <f t="shared" si="2"/>
        <v>11989200</v>
      </c>
      <c r="J6" s="23">
        <v>1952742.22</v>
      </c>
      <c r="K6" s="8">
        <v>1952742.22</v>
      </c>
      <c r="L6" s="8">
        <f t="shared" si="3"/>
        <v>3905484.44</v>
      </c>
      <c r="M6" s="24">
        <f>L6*E6</f>
        <v>11716453.32</v>
      </c>
      <c r="N6" s="23">
        <v>1674200</v>
      </c>
      <c r="O6" s="8">
        <f t="shared" si="4"/>
        <v>318098</v>
      </c>
      <c r="P6" s="8">
        <f t="shared" si="5"/>
        <v>1992298</v>
      </c>
      <c r="Q6" s="24">
        <f t="shared" si="6"/>
        <v>5976894</v>
      </c>
      <c r="R6" s="23">
        <v>2310000</v>
      </c>
      <c r="S6" s="8">
        <f t="shared" si="7"/>
        <v>438900</v>
      </c>
      <c r="T6" s="8">
        <f t="shared" si="8"/>
        <v>2748900</v>
      </c>
      <c r="U6" s="37">
        <f t="shared" si="9"/>
        <v>8246700</v>
      </c>
      <c r="V6" s="41">
        <f t="shared" si="10"/>
        <v>9482311.8300000001</v>
      </c>
      <c r="W6" s="41">
        <f t="shared" ref="W6" si="12">MEDIAN(I6,M6,Q6,U6)</f>
        <v>9981576.6600000001</v>
      </c>
      <c r="X6" s="41">
        <f t="shared" ref="X6:X9" si="13">STDEV(I6:U6)</f>
        <v>4010460.6676649717</v>
      </c>
      <c r="Y6" s="47">
        <f t="shared" si="11"/>
        <v>0.42294123411726819</v>
      </c>
      <c r="Z6" s="48">
        <v>43212100</v>
      </c>
    </row>
    <row r="7" spans="1:26" ht="33" customHeight="1" x14ac:dyDescent="0.25">
      <c r="A7" s="10">
        <v>5</v>
      </c>
      <c r="B7" s="15" t="s">
        <v>15</v>
      </c>
      <c r="C7" s="11" t="s">
        <v>22</v>
      </c>
      <c r="D7" s="2" t="s">
        <v>11</v>
      </c>
      <c r="E7" s="19">
        <v>134</v>
      </c>
      <c r="F7" s="23">
        <v>6841838.5528070182</v>
      </c>
      <c r="G7" s="8">
        <f t="shared" si="0"/>
        <v>1299949.3250333334</v>
      </c>
      <c r="H7" s="8">
        <f t="shared" si="1"/>
        <v>8141787.8778403513</v>
      </c>
      <c r="I7" s="24">
        <f t="shared" si="2"/>
        <v>1090999575.6306071</v>
      </c>
      <c r="J7" s="30">
        <f>990.92*4252.15</f>
        <v>4213540.4779999992</v>
      </c>
      <c r="K7" s="8">
        <f t="shared" ref="K7:K12" si="14">J7*19%</f>
        <v>800572.6908199999</v>
      </c>
      <c r="L7" s="8">
        <f t="shared" si="3"/>
        <v>5014113.1688199993</v>
      </c>
      <c r="M7" s="24">
        <f t="shared" ref="M7:M12" si="15">E7*L7</f>
        <v>671891164.62187994</v>
      </c>
      <c r="N7" s="23">
        <f>(990.92*4342.9)+(33.33*4342.9)</f>
        <v>4448215.3249999993</v>
      </c>
      <c r="O7" s="8">
        <f t="shared" si="4"/>
        <v>845160.91174999985</v>
      </c>
      <c r="P7" s="8">
        <f t="shared" si="5"/>
        <v>5293376.2367499992</v>
      </c>
      <c r="Q7" s="24">
        <f t="shared" si="6"/>
        <v>709312415.72449994</v>
      </c>
      <c r="R7" s="23">
        <v>4152000</v>
      </c>
      <c r="S7" s="8">
        <f t="shared" si="7"/>
        <v>788880</v>
      </c>
      <c r="T7" s="8">
        <f t="shared" si="8"/>
        <v>4940880</v>
      </c>
      <c r="U7" s="37">
        <f t="shared" si="9"/>
        <v>662077920</v>
      </c>
      <c r="V7" s="41">
        <f t="shared" si="10"/>
        <v>783570268.99424672</v>
      </c>
      <c r="W7" s="41">
        <f>MEDIAN(I7,M7,Q7,U7)</f>
        <v>690601790.17318988</v>
      </c>
      <c r="X7" s="41">
        <f t="shared" si="13"/>
        <v>388681085.11398524</v>
      </c>
      <c r="Y7" s="47">
        <f t="shared" si="11"/>
        <v>0.49603858198050021</v>
      </c>
      <c r="Z7" s="48">
        <v>43211507</v>
      </c>
    </row>
    <row r="8" spans="1:26" ht="45" customHeight="1" x14ac:dyDescent="0.25">
      <c r="A8" s="10">
        <v>6</v>
      </c>
      <c r="B8" s="15" t="s">
        <v>15</v>
      </c>
      <c r="C8" s="11" t="s">
        <v>23</v>
      </c>
      <c r="D8" s="2" t="s">
        <v>12</v>
      </c>
      <c r="E8" s="19">
        <v>15</v>
      </c>
      <c r="F8" s="23">
        <v>6576708.9633333338</v>
      </c>
      <c r="G8" s="8">
        <f t="shared" si="0"/>
        <v>1249574.7030333334</v>
      </c>
      <c r="H8" s="8">
        <f t="shared" si="1"/>
        <v>7826283.6663666675</v>
      </c>
      <c r="I8" s="24">
        <f t="shared" si="2"/>
        <v>117394254.99550001</v>
      </c>
      <c r="J8" s="23">
        <v>4044488.89</v>
      </c>
      <c r="K8" s="8">
        <f t="shared" si="14"/>
        <v>768452.88910000003</v>
      </c>
      <c r="L8" s="8">
        <f t="shared" si="3"/>
        <v>4812941.7790999999</v>
      </c>
      <c r="M8" s="24">
        <f t="shared" si="15"/>
        <v>72194126.686499998</v>
      </c>
      <c r="N8" s="23">
        <f>4022472+(47.78*4342.9)</f>
        <v>4229975.7620000001</v>
      </c>
      <c r="O8" s="8">
        <f t="shared" si="4"/>
        <v>803695.39477999997</v>
      </c>
      <c r="P8" s="8">
        <f t="shared" si="5"/>
        <v>5033671.1567799998</v>
      </c>
      <c r="Q8" s="24">
        <f t="shared" si="6"/>
        <v>75505067.351699993</v>
      </c>
      <c r="R8" s="23">
        <v>4764000</v>
      </c>
      <c r="S8" s="8">
        <f t="shared" si="7"/>
        <v>905160</v>
      </c>
      <c r="T8" s="8">
        <f t="shared" si="8"/>
        <v>5669160</v>
      </c>
      <c r="U8" s="37">
        <f t="shared" si="9"/>
        <v>85037400</v>
      </c>
      <c r="V8" s="41">
        <f t="shared" si="10"/>
        <v>87532712.258424997</v>
      </c>
      <c r="W8" s="41">
        <f>MEDIAN(I8,M8,Q8,U8)</f>
        <v>80271233.675850004</v>
      </c>
      <c r="X8" s="41">
        <f t="shared" si="13"/>
        <v>41722964.961253531</v>
      </c>
      <c r="Y8" s="47">
        <f t="shared" si="11"/>
        <v>0.47665568545475645</v>
      </c>
      <c r="Z8" s="48">
        <v>43211503</v>
      </c>
    </row>
    <row r="9" spans="1:26" ht="33.75" x14ac:dyDescent="0.25">
      <c r="A9" s="10">
        <v>7</v>
      </c>
      <c r="B9" s="15" t="s">
        <v>15</v>
      </c>
      <c r="C9" s="11" t="s">
        <v>24</v>
      </c>
      <c r="D9" s="2" t="s">
        <v>25</v>
      </c>
      <c r="E9" s="19">
        <v>1</v>
      </c>
      <c r="F9" s="23">
        <v>17806457.172342621</v>
      </c>
      <c r="G9" s="8">
        <f t="shared" si="0"/>
        <v>3383226.8627450978</v>
      </c>
      <c r="H9" s="8">
        <f t="shared" si="1"/>
        <v>21189684.03508772</v>
      </c>
      <c r="I9" s="24">
        <f t="shared" si="2"/>
        <v>21189684.03508772</v>
      </c>
      <c r="J9" s="23">
        <v>9241055.5600000005</v>
      </c>
      <c r="K9" s="8">
        <f t="shared" si="14"/>
        <v>1755800.5564000001</v>
      </c>
      <c r="L9" s="8">
        <f t="shared" si="3"/>
        <v>10996856.1164</v>
      </c>
      <c r="M9" s="24">
        <f t="shared" si="15"/>
        <v>10996856.1164</v>
      </c>
      <c r="N9" s="23">
        <v>9467734</v>
      </c>
      <c r="O9" s="8">
        <f t="shared" si="4"/>
        <v>1798869.46</v>
      </c>
      <c r="P9" s="8">
        <f t="shared" si="5"/>
        <v>11266603.460000001</v>
      </c>
      <c r="Q9" s="24">
        <f t="shared" si="6"/>
        <v>11266603.460000001</v>
      </c>
      <c r="R9" s="23">
        <v>11250000</v>
      </c>
      <c r="S9" s="8">
        <f t="shared" si="7"/>
        <v>2137500</v>
      </c>
      <c r="T9" s="8">
        <f t="shared" si="8"/>
        <v>13387500</v>
      </c>
      <c r="U9" s="37">
        <f t="shared" si="9"/>
        <v>13387500</v>
      </c>
      <c r="V9" s="41">
        <f t="shared" si="10"/>
        <v>14210160.902871929</v>
      </c>
      <c r="W9" s="41">
        <f>MEDIAN(I9,M9,Q9,U9)</f>
        <v>12327051.73</v>
      </c>
      <c r="X9" s="41">
        <f t="shared" si="13"/>
        <v>5420301.6564189279</v>
      </c>
      <c r="Y9" s="47">
        <f t="shared" si="11"/>
        <v>0.38143844348190764</v>
      </c>
      <c r="Z9" s="48">
        <v>43211503</v>
      </c>
    </row>
    <row r="10" spans="1:26" ht="37.5" customHeight="1" x14ac:dyDescent="0.25">
      <c r="A10" s="10">
        <v>8</v>
      </c>
      <c r="B10" s="15" t="s">
        <v>15</v>
      </c>
      <c r="C10" s="11" t="s">
        <v>26</v>
      </c>
      <c r="D10" s="2" t="s">
        <v>27</v>
      </c>
      <c r="E10" s="19">
        <v>20</v>
      </c>
      <c r="F10" s="23">
        <v>1472947.0735662687</v>
      </c>
      <c r="G10" s="8">
        <f t="shared" si="0"/>
        <v>279859.94397759106</v>
      </c>
      <c r="H10" s="8">
        <f t="shared" si="1"/>
        <v>1752807.0175438598</v>
      </c>
      <c r="I10" s="24">
        <f t="shared" si="2"/>
        <v>35056140.350877196</v>
      </c>
      <c r="J10" s="30">
        <f>282.8*4252.15</f>
        <v>1202508.02</v>
      </c>
      <c r="K10" s="8">
        <f t="shared" si="14"/>
        <v>228476.5238</v>
      </c>
      <c r="L10" s="8">
        <f t="shared" si="3"/>
        <v>1430984.5438000001</v>
      </c>
      <c r="M10" s="24">
        <f t="shared" si="15"/>
        <v>28619690.876000002</v>
      </c>
      <c r="N10" s="31">
        <v>0</v>
      </c>
      <c r="O10" s="32"/>
      <c r="P10" s="32">
        <f t="shared" si="5"/>
        <v>0</v>
      </c>
      <c r="Q10" s="33">
        <f t="shared" ref="Q10" si="16">P10*M10</f>
        <v>0</v>
      </c>
      <c r="R10" s="23">
        <v>1496000</v>
      </c>
      <c r="S10" s="8">
        <f t="shared" si="7"/>
        <v>284240</v>
      </c>
      <c r="T10" s="8">
        <f t="shared" si="8"/>
        <v>1780240</v>
      </c>
      <c r="U10" s="37">
        <f t="shared" si="9"/>
        <v>35604800</v>
      </c>
      <c r="V10" s="41">
        <f>AVERAGE(I10,M10,U10)</f>
        <v>33093543.7422924</v>
      </c>
      <c r="W10" s="41">
        <f>MEDIAN(I10,M10,U10)</f>
        <v>35056140.350877196</v>
      </c>
      <c r="X10" s="41">
        <f>STDEV(I10,M10,U10)</f>
        <v>3884169.9827078134</v>
      </c>
      <c r="Y10" s="47">
        <f t="shared" si="11"/>
        <v>0.11736941842659114</v>
      </c>
      <c r="Z10" s="48">
        <v>43211509</v>
      </c>
    </row>
    <row r="11" spans="1:26" ht="40.5" customHeight="1" x14ac:dyDescent="0.25">
      <c r="A11" s="10">
        <v>9</v>
      </c>
      <c r="B11" s="15" t="s">
        <v>15</v>
      </c>
      <c r="C11" s="11" t="s">
        <v>28</v>
      </c>
      <c r="D11" s="1" t="s">
        <v>29</v>
      </c>
      <c r="E11" s="19">
        <v>4</v>
      </c>
      <c r="F11" s="23">
        <v>667819.47368421056</v>
      </c>
      <c r="G11" s="8">
        <f t="shared" si="0"/>
        <v>126885.70000000001</v>
      </c>
      <c r="H11" s="8">
        <f t="shared" si="1"/>
        <v>794705.17368421052</v>
      </c>
      <c r="I11" s="24">
        <f t="shared" si="2"/>
        <v>3178820.6947368421</v>
      </c>
      <c r="J11" s="30">
        <f>75*4252.15</f>
        <v>318911.25</v>
      </c>
      <c r="K11" s="8">
        <f t="shared" si="14"/>
        <v>60593.137499999997</v>
      </c>
      <c r="L11" s="8">
        <f t="shared" si="3"/>
        <v>379504.38750000001</v>
      </c>
      <c r="M11" s="24">
        <f t="shared" si="15"/>
        <v>1518017.55</v>
      </c>
      <c r="N11" s="23">
        <v>467405</v>
      </c>
      <c r="O11" s="8">
        <f>N11*19%</f>
        <v>88806.95</v>
      </c>
      <c r="P11" s="8">
        <f t="shared" si="5"/>
        <v>556211.94999999995</v>
      </c>
      <c r="Q11" s="24">
        <f>P11*E11</f>
        <v>2224847.7999999998</v>
      </c>
      <c r="R11" s="23">
        <v>364650</v>
      </c>
      <c r="S11" s="8">
        <f t="shared" si="7"/>
        <v>69283.5</v>
      </c>
      <c r="T11" s="8">
        <f t="shared" si="8"/>
        <v>433933.5</v>
      </c>
      <c r="U11" s="37">
        <f>T11*E11</f>
        <v>1735734</v>
      </c>
      <c r="V11" s="41">
        <f>AVERAGE(I11,M11,Q11,U11)</f>
        <v>2164355.0111842104</v>
      </c>
      <c r="W11" s="41">
        <f>MEDIAN(I11,M11,Q11,U11)</f>
        <v>1980290.9</v>
      </c>
      <c r="X11" s="41">
        <f>STDEV(I11:U11)</f>
        <v>978605.35071755771</v>
      </c>
      <c r="Y11" s="47">
        <f t="shared" si="11"/>
        <v>0.45214641112971632</v>
      </c>
      <c r="Z11" s="48">
        <v>43201800</v>
      </c>
    </row>
    <row r="12" spans="1:26" ht="23.25" thickBot="1" x14ac:dyDescent="0.3">
      <c r="A12" s="10">
        <v>13</v>
      </c>
      <c r="B12" s="15" t="s">
        <v>15</v>
      </c>
      <c r="C12" s="11" t="s">
        <v>35</v>
      </c>
      <c r="D12" s="14" t="s">
        <v>14</v>
      </c>
      <c r="E12" s="19">
        <v>250</v>
      </c>
      <c r="F12" s="25">
        <v>40139.280701754389</v>
      </c>
      <c r="G12" s="26">
        <f t="shared" si="0"/>
        <v>7626.463333333334</v>
      </c>
      <c r="H12" s="26">
        <f t="shared" si="1"/>
        <v>47765.744035087722</v>
      </c>
      <c r="I12" s="27">
        <f t="shared" si="2"/>
        <v>11941436.00877193</v>
      </c>
      <c r="J12" s="34">
        <v>0</v>
      </c>
      <c r="K12" s="35">
        <f t="shared" si="14"/>
        <v>0</v>
      </c>
      <c r="L12" s="35">
        <f t="shared" si="3"/>
        <v>0</v>
      </c>
      <c r="M12" s="36">
        <f t="shared" si="15"/>
        <v>0</v>
      </c>
      <c r="N12" s="25">
        <v>13000</v>
      </c>
      <c r="O12" s="26">
        <f>N12*19%</f>
        <v>2470</v>
      </c>
      <c r="P12" s="26">
        <f t="shared" si="5"/>
        <v>15470</v>
      </c>
      <c r="Q12" s="27">
        <f>P12*E12</f>
        <v>3867500</v>
      </c>
      <c r="R12" s="25">
        <v>9000</v>
      </c>
      <c r="S12" s="26">
        <f t="shared" si="7"/>
        <v>1710</v>
      </c>
      <c r="T12" s="26">
        <f t="shared" si="8"/>
        <v>10710</v>
      </c>
      <c r="U12" s="38">
        <f t="shared" si="9"/>
        <v>2677500</v>
      </c>
      <c r="V12" s="41">
        <f>AVERAGE(I12,Q12,U12,)</f>
        <v>4621609.0021929825</v>
      </c>
      <c r="W12" s="41">
        <f>MEDIAN(I12,Q12,U12)</f>
        <v>3867500</v>
      </c>
      <c r="X12" s="41">
        <f>STDEV(I12,Q12,U12)</f>
        <v>5040255.500275841</v>
      </c>
      <c r="Y12" s="47">
        <f>X12/V12</f>
        <v>1.0905845773375047</v>
      </c>
      <c r="Z12" s="48">
        <v>43223300</v>
      </c>
    </row>
    <row r="13" spans="1:26" ht="15.75" thickBot="1" x14ac:dyDescent="0.3">
      <c r="A13" s="28"/>
      <c r="B13" s="63" t="s">
        <v>36</v>
      </c>
      <c r="C13" s="63"/>
      <c r="D13" s="63"/>
      <c r="E13" s="63"/>
      <c r="F13" s="63"/>
      <c r="G13" s="63"/>
      <c r="H13" s="63"/>
      <c r="I13" s="29">
        <f>SUM(I4:I12)</f>
        <v>1325175141.5401425</v>
      </c>
      <c r="M13" s="29">
        <f>SUM(M4:M12)</f>
        <v>814471375.67077994</v>
      </c>
      <c r="Q13" s="29">
        <f>SUM(Q4:Q12)</f>
        <v>857466928.33619988</v>
      </c>
      <c r="U13" s="39">
        <f>SUM(U4:U12)</f>
        <v>826095477.20000005</v>
      </c>
      <c r="V13" s="42">
        <f>SUM(V4:V12)</f>
        <v>964864605.31709051</v>
      </c>
      <c r="W13" s="42">
        <f>SUM(W4:W12)</f>
        <v>860197593.25219774</v>
      </c>
      <c r="X13" s="42">
        <f>SUM(X4:X12)</f>
        <v>464684084.18827003</v>
      </c>
      <c r="Y13" s="45">
        <f>X13/V13</f>
        <v>0.48160548291183042</v>
      </c>
    </row>
    <row r="14" spans="1:26" x14ac:dyDescent="0.25">
      <c r="V14" s="9">
        <f>AVERAGE(I13:U13)</f>
        <v>955802230.68678069</v>
      </c>
      <c r="W14" s="9"/>
    </row>
    <row r="15" spans="1:26" x14ac:dyDescent="0.25">
      <c r="E15">
        <f>4044488.89*E8</f>
        <v>60667333.350000001</v>
      </c>
    </row>
    <row r="16" spans="1:26" x14ac:dyDescent="0.25">
      <c r="Q16" s="9"/>
    </row>
    <row r="17" spans="1:26" ht="58.5" customHeight="1" x14ac:dyDescent="0.25">
      <c r="A17" s="10">
        <v>2</v>
      </c>
      <c r="B17" s="15" t="s">
        <v>15</v>
      </c>
      <c r="C17" s="11" t="s">
        <v>17</v>
      </c>
      <c r="D17" s="2" t="s">
        <v>18</v>
      </c>
      <c r="E17" s="19">
        <v>5</v>
      </c>
      <c r="F17" s="23">
        <v>5299663.5706914347</v>
      </c>
      <c r="G17" s="8">
        <f t="shared" ref="G17:G20" si="17">F17*19%</f>
        <v>1006936.0784313726</v>
      </c>
      <c r="H17" s="8">
        <f t="shared" ref="H17:H20" si="18">F17+G17</f>
        <v>6306599.6491228072</v>
      </c>
      <c r="I17" s="24">
        <f t="shared" ref="I17:I20" si="19">H17*E17</f>
        <v>31532998.245614037</v>
      </c>
      <c r="J17" s="23">
        <v>2947070</v>
      </c>
      <c r="K17" s="8">
        <f>J17*19%</f>
        <v>559943.30000000005</v>
      </c>
      <c r="L17" s="8">
        <f t="shared" ref="L17:L20" si="20">J17+K17</f>
        <v>3507013.3</v>
      </c>
      <c r="M17" s="24">
        <f>L17*E17</f>
        <v>17535066.5</v>
      </c>
      <c r="N17" s="23">
        <v>8288000</v>
      </c>
      <c r="O17" s="8">
        <f t="shared" ref="O17" si="21">N17*19%</f>
        <v>1574720</v>
      </c>
      <c r="P17" s="8">
        <f t="shared" ref="P17:P20" si="22">N17+O17</f>
        <v>9862720</v>
      </c>
      <c r="Q17" s="24">
        <f t="shared" ref="Q17" si="23">P17*E17</f>
        <v>49313600</v>
      </c>
      <c r="R17" s="23">
        <v>2700000</v>
      </c>
      <c r="S17" s="8">
        <f t="shared" ref="S17:S20" si="24">R17*19%</f>
        <v>513000</v>
      </c>
      <c r="T17" s="8">
        <f t="shared" ref="T17:T20" si="25">R17+S17</f>
        <v>3213000</v>
      </c>
      <c r="U17" s="37">
        <f t="shared" ref="U17:U20" si="26">T17*E17</f>
        <v>16065000</v>
      </c>
      <c r="V17" s="41">
        <f t="shared" ref="V17" si="27">AVERAGE(I17,M17,Q17,U17)</f>
        <v>28611666.186403509</v>
      </c>
      <c r="W17" s="41">
        <f>MEDIAN(I17,M17,Q17,U17)</f>
        <v>24534032.372807018</v>
      </c>
      <c r="X17" s="41">
        <f>STDEV(I17:U17)</f>
        <v>14500687.047610031</v>
      </c>
      <c r="Y17" s="47">
        <f t="shared" ref="Y17:Y20" si="28">X17/V17</f>
        <v>0.5068102973499975</v>
      </c>
      <c r="Z17" s="48"/>
    </row>
    <row r="18" spans="1:26" ht="49.5" customHeight="1" x14ac:dyDescent="0.25">
      <c r="A18" s="10">
        <v>10</v>
      </c>
      <c r="B18" s="15" t="s">
        <v>15</v>
      </c>
      <c r="C18" s="11" t="s">
        <v>30</v>
      </c>
      <c r="D18" s="2" t="s">
        <v>31</v>
      </c>
      <c r="E18" s="19">
        <v>8</v>
      </c>
      <c r="F18" s="23">
        <v>574449.19666666677</v>
      </c>
      <c r="G18" s="8">
        <f t="shared" si="17"/>
        <v>109145.34736666668</v>
      </c>
      <c r="H18" s="8">
        <f t="shared" si="18"/>
        <v>683594.54403333343</v>
      </c>
      <c r="I18" s="24">
        <f t="shared" si="19"/>
        <v>5468756.3522666674</v>
      </c>
      <c r="J18" s="23">
        <v>446666.67</v>
      </c>
      <c r="K18" s="8">
        <f t="shared" ref="K18:K20" si="29">J18*19%</f>
        <v>84866.667300000001</v>
      </c>
      <c r="L18" s="8">
        <f t="shared" si="20"/>
        <v>531533.33730000001</v>
      </c>
      <c r="M18" s="24">
        <f t="shared" ref="M18:M20" si="30">E18*L18</f>
        <v>4252266.6984000001</v>
      </c>
      <c r="N18" s="23">
        <v>659832</v>
      </c>
      <c r="O18" s="8">
        <f>N18*19%</f>
        <v>125368.08</v>
      </c>
      <c r="P18" s="8">
        <f t="shared" si="22"/>
        <v>785200.08</v>
      </c>
      <c r="Q18" s="24">
        <f>P18*E18</f>
        <v>6281600.6399999997</v>
      </c>
      <c r="R18" s="23">
        <v>360000</v>
      </c>
      <c r="S18" s="8">
        <f t="shared" si="24"/>
        <v>68400</v>
      </c>
      <c r="T18" s="8">
        <f t="shared" si="25"/>
        <v>428400</v>
      </c>
      <c r="U18" s="37">
        <f t="shared" si="26"/>
        <v>3427200</v>
      </c>
      <c r="V18" s="41">
        <f>AVERAGE(I18,M18,Q18,U18)</f>
        <v>4857455.922666667</v>
      </c>
      <c r="W18" s="41">
        <f>MEDIAN(I18,M18,Q18,U18)</f>
        <v>4860511.5253333338</v>
      </c>
      <c r="X18" s="41">
        <f>STDEV(I18:U18)</f>
        <v>2248294.0409520143</v>
      </c>
      <c r="Y18" s="47">
        <f t="shared" si="28"/>
        <v>0.46285423413944971</v>
      </c>
      <c r="Z18" s="49">
        <v>45121500</v>
      </c>
    </row>
    <row r="19" spans="1:26" ht="63.75" customHeight="1" x14ac:dyDescent="0.25">
      <c r="A19" s="10">
        <v>11</v>
      </c>
      <c r="B19" s="15" t="s">
        <v>15</v>
      </c>
      <c r="C19" s="11" t="s">
        <v>32</v>
      </c>
      <c r="D19" s="2" t="s">
        <v>33</v>
      </c>
      <c r="E19" s="19">
        <v>1</v>
      </c>
      <c r="F19" s="23">
        <v>6259877.7679492859</v>
      </c>
      <c r="G19" s="8">
        <f t="shared" si="17"/>
        <v>1189376.7759103642</v>
      </c>
      <c r="H19" s="8">
        <f t="shared" si="18"/>
        <v>7449254.5438596504</v>
      </c>
      <c r="I19" s="24">
        <f t="shared" si="19"/>
        <v>7449254.5438596504</v>
      </c>
      <c r="J19" s="31">
        <v>0</v>
      </c>
      <c r="K19" s="32">
        <f t="shared" si="29"/>
        <v>0</v>
      </c>
      <c r="L19" s="32">
        <f t="shared" si="20"/>
        <v>0</v>
      </c>
      <c r="M19" s="33">
        <f t="shared" si="30"/>
        <v>0</v>
      </c>
      <c r="N19" s="23">
        <v>6891573</v>
      </c>
      <c r="O19" s="8">
        <f>N19*19%</f>
        <v>1309398.8700000001</v>
      </c>
      <c r="P19" s="8">
        <f t="shared" si="22"/>
        <v>8200971.8700000001</v>
      </c>
      <c r="Q19" s="24">
        <f>P19*E19</f>
        <v>8200971.8700000001</v>
      </c>
      <c r="R19" s="23">
        <v>3070000</v>
      </c>
      <c r="S19" s="8">
        <f t="shared" si="24"/>
        <v>583300</v>
      </c>
      <c r="T19" s="8">
        <f t="shared" si="25"/>
        <v>3653300</v>
      </c>
      <c r="U19" s="37">
        <f t="shared" si="26"/>
        <v>3653300</v>
      </c>
      <c r="V19" s="41">
        <f>AVERAGE(I19,Q19,U19)</f>
        <v>6434508.8046198832</v>
      </c>
      <c r="W19" s="41">
        <f>MEDIAN(I19,Q19,U19)</f>
        <v>7449254.5438596504</v>
      </c>
      <c r="X19" s="41">
        <f>STDEV(I19,Q19,U19)</f>
        <v>2437747.2276214925</v>
      </c>
      <c r="Y19" s="47">
        <f t="shared" si="28"/>
        <v>0.37885521671385786</v>
      </c>
      <c r="Z19" s="48"/>
    </row>
    <row r="20" spans="1:26" ht="22.5" x14ac:dyDescent="0.25">
      <c r="A20" s="10">
        <v>12</v>
      </c>
      <c r="B20" s="15" t="s">
        <v>15</v>
      </c>
      <c r="C20" s="11" t="s">
        <v>34</v>
      </c>
      <c r="D20" s="14" t="s">
        <v>13</v>
      </c>
      <c r="E20" s="19">
        <v>50</v>
      </c>
      <c r="F20" s="23">
        <v>70701.223859649122</v>
      </c>
      <c r="G20" s="8">
        <f t="shared" si="17"/>
        <v>13433.232533333334</v>
      </c>
      <c r="H20" s="8">
        <f t="shared" si="18"/>
        <v>84134.456392982451</v>
      </c>
      <c r="I20" s="24">
        <f t="shared" si="19"/>
        <v>4206722.8196491227</v>
      </c>
      <c r="J20" s="31">
        <v>0</v>
      </c>
      <c r="K20" s="32">
        <f t="shared" si="29"/>
        <v>0</v>
      </c>
      <c r="L20" s="32">
        <f t="shared" si="20"/>
        <v>0</v>
      </c>
      <c r="M20" s="33">
        <f t="shared" si="30"/>
        <v>0</v>
      </c>
      <c r="N20" s="23">
        <v>28103</v>
      </c>
      <c r="O20" s="8">
        <f>N20*19%</f>
        <v>5339.57</v>
      </c>
      <c r="P20" s="8">
        <f t="shared" si="22"/>
        <v>33442.57</v>
      </c>
      <c r="Q20" s="24">
        <f>P20*E20</f>
        <v>1672128.5</v>
      </c>
      <c r="R20" s="23">
        <v>41800</v>
      </c>
      <c r="S20" s="8">
        <f t="shared" si="24"/>
        <v>7942</v>
      </c>
      <c r="T20" s="8">
        <f t="shared" si="25"/>
        <v>49742</v>
      </c>
      <c r="U20" s="37">
        <f t="shared" si="26"/>
        <v>2487100</v>
      </c>
      <c r="V20" s="41">
        <f>AVERAGE(I20,Q20,U20)</f>
        <v>2788650.4398830407</v>
      </c>
      <c r="W20" s="41">
        <f>MEDIAN(I20,Q20,U20)</f>
        <v>2487100</v>
      </c>
      <c r="X20" s="41">
        <f>STDEV(I20,Q20,U20)</f>
        <v>1293924.87886455</v>
      </c>
      <c r="Y20" s="47">
        <f t="shared" si="28"/>
        <v>0.46399679944067096</v>
      </c>
      <c r="Z20" s="48"/>
    </row>
  </sheetData>
  <mergeCells count="5">
    <mergeCell ref="F2:I2"/>
    <mergeCell ref="J2:M2"/>
    <mergeCell ref="N2:Q2"/>
    <mergeCell ref="R2:U2"/>
    <mergeCell ref="B13:H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75CDE-0D14-4A45-A07E-9EEC8D1F25F5}">
  <dimension ref="A1:AB22"/>
  <sheetViews>
    <sheetView workbookViewId="0">
      <selection activeCell="Q9" sqref="Q9"/>
    </sheetView>
  </sheetViews>
  <sheetFormatPr baseColWidth="10" defaultRowHeight="15" x14ac:dyDescent="0.25"/>
  <cols>
    <col min="1" max="1" width="4.42578125" customWidth="1"/>
    <col min="2" max="2" width="9.5703125" style="17" hidden="1" customWidth="1"/>
    <col min="3" max="3" width="14.28515625" customWidth="1"/>
    <col min="4" max="4" width="44.7109375" hidden="1" customWidth="1"/>
    <col min="5" max="5" width="7.85546875" bestFit="1" customWidth="1"/>
    <col min="6" max="6" width="10.85546875" hidden="1" customWidth="1"/>
    <col min="7" max="7" width="10" hidden="1" customWidth="1"/>
    <col min="8" max="8" width="10.85546875" hidden="1" customWidth="1"/>
    <col min="9" max="9" width="16.140625" customWidth="1"/>
    <col min="10" max="11" width="10" hidden="1" customWidth="1"/>
    <col min="12" max="12" width="10.85546875" hidden="1" customWidth="1"/>
    <col min="13" max="13" width="13.7109375" customWidth="1"/>
    <col min="14" max="15" width="10" hidden="1" customWidth="1"/>
    <col min="16" max="16" width="10.85546875" hidden="1" customWidth="1"/>
    <col min="17" max="17" width="14" customWidth="1"/>
    <col min="18" max="18" width="10.85546875" hidden="1" customWidth="1"/>
    <col min="19" max="19" width="10" hidden="1" customWidth="1"/>
    <col min="20" max="20" width="10.85546875" hidden="1" customWidth="1"/>
    <col min="21" max="21" width="14.85546875" bestFit="1" customWidth="1"/>
    <col min="22" max="22" width="14.140625" customWidth="1"/>
    <col min="23" max="24" width="11.7109375" bestFit="1" customWidth="1"/>
    <col min="25" max="25" width="10" bestFit="1" customWidth="1"/>
    <col min="27" max="27" width="13" bestFit="1" customWidth="1"/>
    <col min="28" max="28" width="14.5703125" bestFit="1" customWidth="1"/>
  </cols>
  <sheetData>
    <row r="1" spans="1:28" ht="15.75" thickBot="1" x14ac:dyDescent="0.3"/>
    <row r="2" spans="1:28" ht="15.75" thickBot="1" x14ac:dyDescent="0.3">
      <c r="A2" s="3"/>
      <c r="B2" s="4"/>
      <c r="C2" s="4"/>
      <c r="D2" s="5"/>
      <c r="E2" s="5"/>
      <c r="F2" s="51" t="s">
        <v>37</v>
      </c>
      <c r="G2" s="52"/>
      <c r="H2" s="52"/>
      <c r="I2" s="53"/>
      <c r="J2" s="54" t="s">
        <v>38</v>
      </c>
      <c r="K2" s="55"/>
      <c r="L2" s="55"/>
      <c r="M2" s="56"/>
      <c r="N2" s="57" t="s">
        <v>39</v>
      </c>
      <c r="O2" s="58"/>
      <c r="P2" s="58"/>
      <c r="Q2" s="59"/>
      <c r="R2" s="60" t="s">
        <v>40</v>
      </c>
      <c r="S2" s="61"/>
      <c r="T2" s="61"/>
      <c r="U2" s="62"/>
    </row>
    <row r="3" spans="1:28" ht="33.75" x14ac:dyDescent="0.25">
      <c r="A3" s="6" t="s">
        <v>0</v>
      </c>
      <c r="B3" s="6" t="s">
        <v>1</v>
      </c>
      <c r="C3" s="6" t="s">
        <v>2</v>
      </c>
      <c r="D3" s="7" t="s">
        <v>3</v>
      </c>
      <c r="E3" s="18" t="s">
        <v>4</v>
      </c>
      <c r="F3" s="21" t="s">
        <v>6</v>
      </c>
      <c r="G3" s="6" t="s">
        <v>5</v>
      </c>
      <c r="H3" s="6" t="s">
        <v>7</v>
      </c>
      <c r="I3" s="22" t="s">
        <v>8</v>
      </c>
      <c r="J3" s="21" t="s">
        <v>6</v>
      </c>
      <c r="K3" s="6" t="s">
        <v>5</v>
      </c>
      <c r="L3" s="6" t="s">
        <v>7</v>
      </c>
      <c r="M3" s="22" t="s">
        <v>8</v>
      </c>
      <c r="N3" s="21" t="s">
        <v>6</v>
      </c>
      <c r="O3" s="6" t="s">
        <v>5</v>
      </c>
      <c r="P3" s="6" t="s">
        <v>7</v>
      </c>
      <c r="Q3" s="22" t="s">
        <v>8</v>
      </c>
      <c r="R3" s="21" t="s">
        <v>6</v>
      </c>
      <c r="S3" s="6" t="s">
        <v>5</v>
      </c>
      <c r="T3" s="6" t="s">
        <v>7</v>
      </c>
      <c r="U3" s="18" t="s">
        <v>8</v>
      </c>
      <c r="V3" s="40" t="s">
        <v>41</v>
      </c>
      <c r="W3" s="44" t="s">
        <v>43</v>
      </c>
      <c r="X3" s="43" t="s">
        <v>44</v>
      </c>
      <c r="Y3" s="46" t="s">
        <v>42</v>
      </c>
      <c r="Z3" s="43" t="s">
        <v>45</v>
      </c>
    </row>
    <row r="4" spans="1:28" ht="23.25" customHeight="1" x14ac:dyDescent="0.25">
      <c r="A4" s="10">
        <v>1</v>
      </c>
      <c r="B4" s="15" t="s">
        <v>15</v>
      </c>
      <c r="C4" s="11" t="s">
        <v>16</v>
      </c>
      <c r="D4" s="11" t="s">
        <v>9</v>
      </c>
      <c r="E4" s="19">
        <v>9</v>
      </c>
      <c r="F4" s="23">
        <v>176753.64882795227</v>
      </c>
      <c r="G4" s="8">
        <f>F4*19%</f>
        <v>33583.193277310929</v>
      </c>
      <c r="H4" s="8">
        <f>F4+G4</f>
        <v>210336.8421052632</v>
      </c>
      <c r="I4" s="24">
        <f>H4*E4</f>
        <v>1893031.5789473688</v>
      </c>
      <c r="J4" s="31">
        <v>0</v>
      </c>
      <c r="K4" s="32"/>
      <c r="L4" s="32">
        <f>J4+K4</f>
        <v>0</v>
      </c>
      <c r="M4" s="33">
        <f>L4*I4</f>
        <v>0</v>
      </c>
      <c r="N4" s="31">
        <v>0</v>
      </c>
      <c r="O4" s="32"/>
      <c r="P4" s="32">
        <f>N4+O4</f>
        <v>0</v>
      </c>
      <c r="Q4" s="33">
        <f>P4*M4</f>
        <v>0</v>
      </c>
      <c r="R4" s="23">
        <v>117920</v>
      </c>
      <c r="S4" s="8">
        <f>R4*19%</f>
        <v>22404.799999999999</v>
      </c>
      <c r="T4" s="8">
        <f>R4+S4</f>
        <v>140324.79999999999</v>
      </c>
      <c r="U4" s="37">
        <f t="shared" ref="U4:U16" si="0">T4*E4</f>
        <v>1262923.2</v>
      </c>
      <c r="V4" s="41">
        <f>AVERAGE(I4,U4)</f>
        <v>1577977.3894736844</v>
      </c>
      <c r="W4" s="41">
        <f>MEDIAN(I4,U4)</f>
        <v>1577977.3894736844</v>
      </c>
      <c r="X4" s="41">
        <f>STDEV(I4,U4)</f>
        <v>445553.90763614769</v>
      </c>
      <c r="Y4" s="47">
        <f>X4/V4</f>
        <v>0.2823575994233713</v>
      </c>
      <c r="Z4" s="48">
        <v>43211701</v>
      </c>
    </row>
    <row r="5" spans="1:28" ht="20.25" customHeight="1" x14ac:dyDescent="0.25">
      <c r="A5" s="10">
        <v>2</v>
      </c>
      <c r="B5" s="15" t="s">
        <v>15</v>
      </c>
      <c r="C5" s="11" t="s">
        <v>17</v>
      </c>
      <c r="D5" s="2" t="s">
        <v>18</v>
      </c>
      <c r="E5" s="19">
        <v>5</v>
      </c>
      <c r="F5" s="23">
        <v>5299663.5706914347</v>
      </c>
      <c r="G5" s="8">
        <f t="shared" ref="G5:G16" si="1">F5*19%</f>
        <v>1006936.0784313726</v>
      </c>
      <c r="H5" s="8">
        <f t="shared" ref="H5:H16" si="2">F5+G5</f>
        <v>6306599.6491228072</v>
      </c>
      <c r="I5" s="24">
        <f t="shared" ref="I5:I16" si="3">H5*E5</f>
        <v>31532998.245614037</v>
      </c>
      <c r="J5" s="23">
        <v>2947070</v>
      </c>
      <c r="K5" s="8">
        <f>J5*19%</f>
        <v>559943.30000000005</v>
      </c>
      <c r="L5" s="8">
        <f t="shared" ref="L5:L16" si="4">J5+K5</f>
        <v>3507013.3</v>
      </c>
      <c r="M5" s="24">
        <f>L5*E5</f>
        <v>17535066.5</v>
      </c>
      <c r="N5" s="23">
        <v>8288000</v>
      </c>
      <c r="O5" s="8">
        <f t="shared" ref="O5:O10" si="5">N5*19%</f>
        <v>1574720</v>
      </c>
      <c r="P5" s="8">
        <f t="shared" ref="P5:P16" si="6">N5+O5</f>
        <v>9862720</v>
      </c>
      <c r="Q5" s="24">
        <f t="shared" ref="Q5:Q10" si="7">P5*E5</f>
        <v>49313600</v>
      </c>
      <c r="R5" s="23">
        <v>2700000</v>
      </c>
      <c r="S5" s="8">
        <f t="shared" ref="S5:S16" si="8">R5*19%</f>
        <v>513000</v>
      </c>
      <c r="T5" s="8">
        <f t="shared" ref="T5:T16" si="9">R5+S5</f>
        <v>3213000</v>
      </c>
      <c r="U5" s="37">
        <f t="shared" si="0"/>
        <v>16065000</v>
      </c>
      <c r="V5" s="41">
        <f t="shared" ref="V5:V10" si="10">AVERAGE(I5,M5,Q5,U5)</f>
        <v>28611666.186403509</v>
      </c>
      <c r="W5" s="41">
        <f t="shared" ref="W5:W10" si="11">MEDIAN(I5,M5,Q5,U5)</f>
        <v>24534032.372807018</v>
      </c>
      <c r="X5" s="41">
        <f t="shared" ref="X5:X10" si="12">STDEV(I5:U5)</f>
        <v>14500687.047610031</v>
      </c>
      <c r="Y5" s="47">
        <f t="shared" ref="Y5:Y15" si="13">X5/V5</f>
        <v>0.5068102973499975</v>
      </c>
      <c r="Z5" s="48"/>
      <c r="AA5" s="9">
        <f>E5*J5</f>
        <v>14735350</v>
      </c>
    </row>
    <row r="6" spans="1:28" ht="22.5" customHeight="1" x14ac:dyDescent="0.25">
      <c r="A6" s="10">
        <v>3</v>
      </c>
      <c r="B6" s="15" t="s">
        <v>15</v>
      </c>
      <c r="C6" s="11" t="s">
        <v>19</v>
      </c>
      <c r="D6" s="12" t="s">
        <v>20</v>
      </c>
      <c r="E6" s="19">
        <v>3</v>
      </c>
      <c r="F6" s="23">
        <v>3358319.3277310925</v>
      </c>
      <c r="G6" s="8">
        <f t="shared" si="1"/>
        <v>638080.67226890754</v>
      </c>
      <c r="H6" s="8">
        <f t="shared" si="2"/>
        <v>3996400</v>
      </c>
      <c r="I6" s="24">
        <f t="shared" si="3"/>
        <v>11989200</v>
      </c>
      <c r="J6" s="23">
        <v>1952742.22</v>
      </c>
      <c r="K6" s="8">
        <v>1952742.22</v>
      </c>
      <c r="L6" s="8">
        <f t="shared" si="4"/>
        <v>3905484.44</v>
      </c>
      <c r="M6" s="24">
        <f>L6*E6</f>
        <v>11716453.32</v>
      </c>
      <c r="N6" s="23">
        <v>1674200</v>
      </c>
      <c r="O6" s="8">
        <f t="shared" si="5"/>
        <v>318098</v>
      </c>
      <c r="P6" s="8">
        <f t="shared" si="6"/>
        <v>1992298</v>
      </c>
      <c r="Q6" s="24">
        <f t="shared" si="7"/>
        <v>5976894</v>
      </c>
      <c r="R6" s="23">
        <v>2310000</v>
      </c>
      <c r="S6" s="8">
        <f t="shared" si="8"/>
        <v>438900</v>
      </c>
      <c r="T6" s="8">
        <f t="shared" si="9"/>
        <v>2748900</v>
      </c>
      <c r="U6" s="37">
        <f t="shared" si="0"/>
        <v>8246700</v>
      </c>
      <c r="V6" s="41">
        <f t="shared" si="10"/>
        <v>9482311.8300000001</v>
      </c>
      <c r="W6" s="41">
        <f t="shared" si="11"/>
        <v>9981576.6600000001</v>
      </c>
      <c r="X6" s="41">
        <f t="shared" si="12"/>
        <v>4010460.6676649717</v>
      </c>
      <c r="Y6" s="47">
        <f t="shared" si="13"/>
        <v>0.42294123411726819</v>
      </c>
      <c r="Z6" s="48">
        <v>43212100</v>
      </c>
      <c r="AA6" s="9">
        <f>E6*J6</f>
        <v>5858226.6600000001</v>
      </c>
    </row>
    <row r="7" spans="1:28" ht="24" customHeight="1" x14ac:dyDescent="0.25">
      <c r="A7" s="10">
        <v>4</v>
      </c>
      <c r="B7" s="16" t="s">
        <v>15</v>
      </c>
      <c r="C7" s="13" t="s">
        <v>21</v>
      </c>
      <c r="D7" s="1" t="s">
        <v>10</v>
      </c>
      <c r="E7" s="20">
        <v>6</v>
      </c>
      <c r="F7" s="23">
        <v>2397957.8357658852</v>
      </c>
      <c r="G7" s="8">
        <f t="shared" si="1"/>
        <v>455611.98879551818</v>
      </c>
      <c r="H7" s="8">
        <f t="shared" si="2"/>
        <v>2853569.8245614031</v>
      </c>
      <c r="I7" s="24">
        <f t="shared" si="3"/>
        <v>17121418.947368421</v>
      </c>
      <c r="J7" s="30">
        <f>244.98*4342.9</f>
        <v>1063923.6419999998</v>
      </c>
      <c r="K7" s="8">
        <f>J7*19%</f>
        <v>202145.49197999996</v>
      </c>
      <c r="L7" s="8">
        <f t="shared" si="4"/>
        <v>1266069.1339799997</v>
      </c>
      <c r="M7" s="24">
        <f t="shared" ref="M7:M16" si="14">E7*L7</f>
        <v>7596414.8038799986</v>
      </c>
      <c r="N7" s="23">
        <v>1519000</v>
      </c>
      <c r="O7" s="8">
        <f t="shared" si="5"/>
        <v>288610</v>
      </c>
      <c r="P7" s="8">
        <f t="shared" si="6"/>
        <v>1807610</v>
      </c>
      <c r="Q7" s="24">
        <f t="shared" si="7"/>
        <v>10845660</v>
      </c>
      <c r="R7" s="23">
        <v>1140000</v>
      </c>
      <c r="S7" s="8">
        <f t="shared" si="8"/>
        <v>216600</v>
      </c>
      <c r="T7" s="8">
        <f t="shared" si="9"/>
        <v>1356600</v>
      </c>
      <c r="U7" s="37">
        <f t="shared" si="0"/>
        <v>8139600</v>
      </c>
      <c r="V7" s="41">
        <f t="shared" si="10"/>
        <v>10925773.437812105</v>
      </c>
      <c r="W7" s="41">
        <f t="shared" si="11"/>
        <v>9492630</v>
      </c>
      <c r="X7" s="41">
        <f t="shared" si="12"/>
        <v>5274285.0690846518</v>
      </c>
      <c r="Y7" s="47">
        <f t="shared" si="13"/>
        <v>0.48273791316515086</v>
      </c>
      <c r="Z7" s="49">
        <v>44103103</v>
      </c>
      <c r="AA7">
        <f>244.98*E7</f>
        <v>1469.8799999999999</v>
      </c>
      <c r="AB7" s="50">
        <f>AA7*4342.9</f>
        <v>6383541.851999999</v>
      </c>
    </row>
    <row r="8" spans="1:28" ht="30" customHeight="1" x14ac:dyDescent="0.25">
      <c r="A8" s="10">
        <v>5</v>
      </c>
      <c r="B8" s="15" t="s">
        <v>15</v>
      </c>
      <c r="C8" s="11" t="s">
        <v>22</v>
      </c>
      <c r="D8" s="2" t="s">
        <v>11</v>
      </c>
      <c r="E8" s="19">
        <v>134</v>
      </c>
      <c r="F8" s="23">
        <v>6841838.5528070182</v>
      </c>
      <c r="G8" s="8">
        <f t="shared" si="1"/>
        <v>1299949.3250333334</v>
      </c>
      <c r="H8" s="8">
        <f t="shared" si="2"/>
        <v>8141787.8778403513</v>
      </c>
      <c r="I8" s="24">
        <f t="shared" si="3"/>
        <v>1090999575.6306071</v>
      </c>
      <c r="J8" s="30">
        <f>(990.92*4342.9)+(33.33*4342.9)</f>
        <v>4448215.3249999993</v>
      </c>
      <c r="K8" s="8">
        <f t="shared" ref="K8:K16" si="15">J8*19%</f>
        <v>845160.91174999985</v>
      </c>
      <c r="L8" s="8">
        <f t="shared" si="4"/>
        <v>5293376.2367499992</v>
      </c>
      <c r="M8" s="24">
        <f t="shared" si="14"/>
        <v>709312415.72449994</v>
      </c>
      <c r="N8" s="23">
        <v>4283000</v>
      </c>
      <c r="O8" s="8">
        <f t="shared" si="5"/>
        <v>813770</v>
      </c>
      <c r="P8" s="8">
        <f t="shared" si="6"/>
        <v>5096770</v>
      </c>
      <c r="Q8" s="24">
        <f t="shared" si="7"/>
        <v>682967180</v>
      </c>
      <c r="R8" s="23">
        <v>4152000</v>
      </c>
      <c r="S8" s="8">
        <f t="shared" si="8"/>
        <v>788880</v>
      </c>
      <c r="T8" s="8">
        <f t="shared" si="9"/>
        <v>4940880</v>
      </c>
      <c r="U8" s="37">
        <f t="shared" si="0"/>
        <v>662077920</v>
      </c>
      <c r="V8" s="41">
        <f t="shared" si="10"/>
        <v>786339272.83877683</v>
      </c>
      <c r="W8" s="41">
        <f t="shared" si="11"/>
        <v>696139797.86224997</v>
      </c>
      <c r="X8" s="41">
        <f t="shared" si="12"/>
        <v>389700815.93913943</v>
      </c>
      <c r="Y8" s="47">
        <f t="shared" si="13"/>
        <v>0.49558864652947304</v>
      </c>
      <c r="Z8" s="48">
        <v>43211507</v>
      </c>
    </row>
    <row r="9" spans="1:28" ht="21.75" customHeight="1" x14ac:dyDescent="0.25">
      <c r="A9" s="10">
        <v>6</v>
      </c>
      <c r="B9" s="15" t="s">
        <v>15</v>
      </c>
      <c r="C9" s="11" t="s">
        <v>23</v>
      </c>
      <c r="D9" s="2" t="s">
        <v>12</v>
      </c>
      <c r="E9" s="19">
        <v>15</v>
      </c>
      <c r="F9" s="23">
        <v>6576708.9633333338</v>
      </c>
      <c r="G9" s="8">
        <f t="shared" si="1"/>
        <v>1249574.7030333334</v>
      </c>
      <c r="H9" s="8">
        <f t="shared" si="2"/>
        <v>7826283.6663666675</v>
      </c>
      <c r="I9" s="24">
        <f t="shared" si="3"/>
        <v>117394254.99550001</v>
      </c>
      <c r="J9" s="23">
        <f>4044488.89+(47.48*4342.9)</f>
        <v>4250689.7819999997</v>
      </c>
      <c r="K9" s="8">
        <f t="shared" si="15"/>
        <v>807631.05857999995</v>
      </c>
      <c r="L9" s="8">
        <f t="shared" si="4"/>
        <v>5058320.8405799996</v>
      </c>
      <c r="M9" s="24">
        <f t="shared" si="14"/>
        <v>75874812.608699992</v>
      </c>
      <c r="N9" s="23">
        <v>4110555</v>
      </c>
      <c r="O9" s="8">
        <f t="shared" si="5"/>
        <v>781005.45</v>
      </c>
      <c r="P9" s="8">
        <f t="shared" si="6"/>
        <v>4891560.45</v>
      </c>
      <c r="Q9" s="24">
        <f t="shared" si="7"/>
        <v>73373406.75</v>
      </c>
      <c r="R9" s="23">
        <v>4764000</v>
      </c>
      <c r="S9" s="8">
        <f t="shared" si="8"/>
        <v>905160</v>
      </c>
      <c r="T9" s="8">
        <f t="shared" si="9"/>
        <v>5669160</v>
      </c>
      <c r="U9" s="37">
        <f t="shared" si="0"/>
        <v>85037400</v>
      </c>
      <c r="V9" s="41">
        <f t="shared" si="10"/>
        <v>87919968.588550001</v>
      </c>
      <c r="W9" s="41">
        <f t="shared" si="11"/>
        <v>80456106.304349989</v>
      </c>
      <c r="X9" s="41">
        <f t="shared" si="12"/>
        <v>41848809.834773205</v>
      </c>
      <c r="Y9" s="47">
        <f t="shared" si="13"/>
        <v>0.47598754306451452</v>
      </c>
      <c r="Z9" s="48">
        <v>43211503</v>
      </c>
    </row>
    <row r="10" spans="1:28" ht="27.75" customHeight="1" x14ac:dyDescent="0.25">
      <c r="A10" s="10">
        <v>7</v>
      </c>
      <c r="B10" s="15" t="s">
        <v>15</v>
      </c>
      <c r="C10" s="11" t="s">
        <v>24</v>
      </c>
      <c r="D10" s="2" t="s">
        <v>25</v>
      </c>
      <c r="E10" s="19">
        <v>1</v>
      </c>
      <c r="F10" s="23">
        <v>17806457.172342621</v>
      </c>
      <c r="G10" s="8">
        <f t="shared" si="1"/>
        <v>3383226.8627450978</v>
      </c>
      <c r="H10" s="8">
        <f t="shared" si="2"/>
        <v>21189684.03508772</v>
      </c>
      <c r="I10" s="24">
        <f t="shared" si="3"/>
        <v>21189684.03508772</v>
      </c>
      <c r="J10" s="23">
        <v>9241055.5600000005</v>
      </c>
      <c r="K10" s="8">
        <f t="shared" si="15"/>
        <v>1755800.5564000001</v>
      </c>
      <c r="L10" s="8">
        <f t="shared" si="4"/>
        <v>10996856.1164</v>
      </c>
      <c r="M10" s="24">
        <f t="shared" si="14"/>
        <v>10996856.1164</v>
      </c>
      <c r="N10" s="23">
        <v>9467734</v>
      </c>
      <c r="O10" s="8">
        <f t="shared" si="5"/>
        <v>1798869.46</v>
      </c>
      <c r="P10" s="8">
        <f t="shared" si="6"/>
        <v>11266603.460000001</v>
      </c>
      <c r="Q10" s="24">
        <f t="shared" si="7"/>
        <v>11266603.460000001</v>
      </c>
      <c r="R10" s="23">
        <v>11250000</v>
      </c>
      <c r="S10" s="8">
        <f t="shared" si="8"/>
        <v>2137500</v>
      </c>
      <c r="T10" s="8">
        <f t="shared" si="9"/>
        <v>13387500</v>
      </c>
      <c r="U10" s="37">
        <f t="shared" si="0"/>
        <v>13387500</v>
      </c>
      <c r="V10" s="41">
        <f t="shared" si="10"/>
        <v>14210160.902871929</v>
      </c>
      <c r="W10" s="41">
        <f t="shared" si="11"/>
        <v>12327051.73</v>
      </c>
      <c r="X10" s="41">
        <f t="shared" si="12"/>
        <v>5420301.6564189279</v>
      </c>
      <c r="Y10" s="47">
        <f t="shared" si="13"/>
        <v>0.38143844348190764</v>
      </c>
      <c r="Z10" s="48">
        <v>43211503</v>
      </c>
    </row>
    <row r="11" spans="1:28" ht="16.5" customHeight="1" x14ac:dyDescent="0.25">
      <c r="A11" s="10">
        <v>8</v>
      </c>
      <c r="B11" s="15" t="s">
        <v>15</v>
      </c>
      <c r="C11" s="11" t="s">
        <v>26</v>
      </c>
      <c r="D11" s="2" t="s">
        <v>27</v>
      </c>
      <c r="E11" s="19">
        <v>20</v>
      </c>
      <c r="F11" s="23">
        <v>1472947.0735662687</v>
      </c>
      <c r="G11" s="8">
        <f t="shared" si="1"/>
        <v>279859.94397759106</v>
      </c>
      <c r="H11" s="8">
        <f t="shared" si="2"/>
        <v>1752807.0175438598</v>
      </c>
      <c r="I11" s="24">
        <f t="shared" si="3"/>
        <v>35056140.350877196</v>
      </c>
      <c r="J11" s="30">
        <f>282.8*4342.9</f>
        <v>1228172.1199999999</v>
      </c>
      <c r="K11" s="8">
        <f t="shared" si="15"/>
        <v>233352.70279999997</v>
      </c>
      <c r="L11" s="8">
        <f t="shared" si="4"/>
        <v>1461524.8227999997</v>
      </c>
      <c r="M11" s="24">
        <f t="shared" si="14"/>
        <v>29230496.455999993</v>
      </c>
      <c r="N11" s="31">
        <v>0</v>
      </c>
      <c r="O11" s="32"/>
      <c r="P11" s="32">
        <f t="shared" si="6"/>
        <v>0</v>
      </c>
      <c r="Q11" s="33">
        <f t="shared" ref="Q11" si="16">P11*M11</f>
        <v>0</v>
      </c>
      <c r="R11" s="23">
        <v>1496000</v>
      </c>
      <c r="S11" s="8">
        <f t="shared" si="8"/>
        <v>284240</v>
      </c>
      <c r="T11" s="8">
        <f t="shared" si="9"/>
        <v>1780240</v>
      </c>
      <c r="U11" s="37">
        <f t="shared" si="0"/>
        <v>35604800</v>
      </c>
      <c r="V11" s="41">
        <f>AVERAGE(I11,M11,U11)</f>
        <v>33297145.6022924</v>
      </c>
      <c r="W11" s="41">
        <f>MEDIAN(I11,M11,U11)</f>
        <v>35056140.350877196</v>
      </c>
      <c r="X11" s="41">
        <f>STDEV(I11,M11,U11)</f>
        <v>3532489.6761242542</v>
      </c>
      <c r="Y11" s="47">
        <f t="shared" si="13"/>
        <v>0.10608986482856518</v>
      </c>
      <c r="Z11" s="48">
        <v>43211509</v>
      </c>
    </row>
    <row r="12" spans="1:28" ht="23.25" customHeight="1" x14ac:dyDescent="0.25">
      <c r="A12" s="10">
        <v>9</v>
      </c>
      <c r="B12" s="15" t="s">
        <v>15</v>
      </c>
      <c r="C12" s="11" t="s">
        <v>28</v>
      </c>
      <c r="D12" s="1" t="s">
        <v>29</v>
      </c>
      <c r="E12" s="19">
        <v>4</v>
      </c>
      <c r="F12" s="23">
        <v>667819.47368421056</v>
      </c>
      <c r="G12" s="8">
        <f t="shared" si="1"/>
        <v>126885.70000000001</v>
      </c>
      <c r="H12" s="8">
        <f t="shared" si="2"/>
        <v>794705.17368421052</v>
      </c>
      <c r="I12" s="24">
        <f t="shared" si="3"/>
        <v>3178820.6947368421</v>
      </c>
      <c r="J12" s="30">
        <f>75*4342.9</f>
        <v>325717.5</v>
      </c>
      <c r="K12" s="8">
        <f t="shared" si="15"/>
        <v>61886.324999999997</v>
      </c>
      <c r="L12" s="8">
        <f t="shared" si="4"/>
        <v>387603.82500000001</v>
      </c>
      <c r="M12" s="24">
        <f t="shared" si="14"/>
        <v>1550415.3</v>
      </c>
      <c r="N12" s="23">
        <v>467405</v>
      </c>
      <c r="O12" s="8">
        <f>N12*19%</f>
        <v>88806.95</v>
      </c>
      <c r="P12" s="8">
        <f t="shared" si="6"/>
        <v>556211.94999999995</v>
      </c>
      <c r="Q12" s="24">
        <f>P12*E12</f>
        <v>2224847.7999999998</v>
      </c>
      <c r="R12" s="23">
        <v>364650</v>
      </c>
      <c r="S12" s="8">
        <f t="shared" si="8"/>
        <v>69283.5</v>
      </c>
      <c r="T12" s="8">
        <f t="shared" si="9"/>
        <v>433933.5</v>
      </c>
      <c r="U12" s="37">
        <f t="shared" si="0"/>
        <v>1735734</v>
      </c>
      <c r="V12" s="41">
        <f>AVERAGE(I12,M12,Q12,U12)</f>
        <v>2172454.4486842104</v>
      </c>
      <c r="W12" s="41">
        <f>MEDIAN(I12,M12,Q12,U12)</f>
        <v>1980290.9</v>
      </c>
      <c r="X12" s="41">
        <f>STDEV(I12:U12)</f>
        <v>979659.90718810889</v>
      </c>
      <c r="Y12" s="47">
        <f t="shared" si="13"/>
        <v>0.45094612123235039</v>
      </c>
      <c r="Z12" s="48">
        <v>43201800</v>
      </c>
    </row>
    <row r="13" spans="1:28" ht="21.75" customHeight="1" x14ac:dyDescent="0.25">
      <c r="A13" s="10">
        <v>10</v>
      </c>
      <c r="B13" s="15" t="s">
        <v>15</v>
      </c>
      <c r="C13" s="11" t="s">
        <v>30</v>
      </c>
      <c r="D13" s="2" t="s">
        <v>31</v>
      </c>
      <c r="E13" s="19">
        <v>8</v>
      </c>
      <c r="F13" s="23">
        <v>574449.19666666677</v>
      </c>
      <c r="G13" s="8">
        <f t="shared" si="1"/>
        <v>109145.34736666668</v>
      </c>
      <c r="H13" s="8">
        <f t="shared" si="2"/>
        <v>683594.54403333343</v>
      </c>
      <c r="I13" s="24">
        <f t="shared" si="3"/>
        <v>5468756.3522666674</v>
      </c>
      <c r="J13" s="23">
        <v>446666.67</v>
      </c>
      <c r="K13" s="8">
        <f t="shared" si="15"/>
        <v>84866.667300000001</v>
      </c>
      <c r="L13" s="8">
        <f t="shared" si="4"/>
        <v>531533.33730000001</v>
      </c>
      <c r="M13" s="24">
        <f t="shared" si="14"/>
        <v>4252266.6984000001</v>
      </c>
      <c r="N13" s="23">
        <v>659832</v>
      </c>
      <c r="O13" s="8">
        <f>N13*19%</f>
        <v>125368.08</v>
      </c>
      <c r="P13" s="8">
        <f t="shared" si="6"/>
        <v>785200.08</v>
      </c>
      <c r="Q13" s="24">
        <f>P13*E13</f>
        <v>6281600.6399999997</v>
      </c>
      <c r="R13" s="23">
        <v>360000</v>
      </c>
      <c r="S13" s="8">
        <f t="shared" si="8"/>
        <v>68400</v>
      </c>
      <c r="T13" s="8">
        <f t="shared" si="9"/>
        <v>428400</v>
      </c>
      <c r="U13" s="37">
        <f t="shared" si="0"/>
        <v>3427200</v>
      </c>
      <c r="V13" s="41">
        <f>AVERAGE(I13,M13,Q13,U13)</f>
        <v>4857455.922666667</v>
      </c>
      <c r="W13" s="41">
        <f>MEDIAN(I13,M13,Q13,U13)</f>
        <v>4860511.5253333338</v>
      </c>
      <c r="X13" s="41">
        <f>STDEV(I13:U13)</f>
        <v>2248294.0409520143</v>
      </c>
      <c r="Y13" s="47">
        <f t="shared" si="13"/>
        <v>0.46285423413944971</v>
      </c>
      <c r="Z13" s="49">
        <v>45121500</v>
      </c>
    </row>
    <row r="14" spans="1:28" ht="15.75" customHeight="1" x14ac:dyDescent="0.25">
      <c r="A14" s="10">
        <v>11</v>
      </c>
      <c r="B14" s="15" t="s">
        <v>15</v>
      </c>
      <c r="C14" s="11" t="s">
        <v>32</v>
      </c>
      <c r="D14" s="2" t="s">
        <v>33</v>
      </c>
      <c r="E14" s="19">
        <v>1</v>
      </c>
      <c r="F14" s="23">
        <v>6259877.7679492859</v>
      </c>
      <c r="G14" s="8">
        <f t="shared" si="1"/>
        <v>1189376.7759103642</v>
      </c>
      <c r="H14" s="8">
        <f t="shared" si="2"/>
        <v>7449254.5438596504</v>
      </c>
      <c r="I14" s="24">
        <f t="shared" si="3"/>
        <v>7449254.5438596504</v>
      </c>
      <c r="J14" s="31">
        <v>0</v>
      </c>
      <c r="K14" s="32">
        <f t="shared" si="15"/>
        <v>0</v>
      </c>
      <c r="L14" s="32">
        <f t="shared" si="4"/>
        <v>0</v>
      </c>
      <c r="M14" s="33">
        <f t="shared" si="14"/>
        <v>0</v>
      </c>
      <c r="N14" s="23">
        <v>6891573</v>
      </c>
      <c r="O14" s="8">
        <f>N14*19%</f>
        <v>1309398.8700000001</v>
      </c>
      <c r="P14" s="8">
        <f t="shared" si="6"/>
        <v>8200971.8700000001</v>
      </c>
      <c r="Q14" s="24">
        <f>P14*E14</f>
        <v>8200971.8700000001</v>
      </c>
      <c r="R14" s="23">
        <v>3070000</v>
      </c>
      <c r="S14" s="8">
        <f t="shared" si="8"/>
        <v>583300</v>
      </c>
      <c r="T14" s="8">
        <f t="shared" si="9"/>
        <v>3653300</v>
      </c>
      <c r="U14" s="37">
        <f t="shared" si="0"/>
        <v>3653300</v>
      </c>
      <c r="V14" s="41">
        <f>AVERAGE(I14,Q14,U14)</f>
        <v>6434508.8046198832</v>
      </c>
      <c r="W14" s="41">
        <f>MEDIAN(I14,Q14,U14)</f>
        <v>7449254.5438596504</v>
      </c>
      <c r="X14" s="41">
        <f>STDEV(I14,Q14,U14)</f>
        <v>2437747.2276214925</v>
      </c>
      <c r="Y14" s="47">
        <f t="shared" si="13"/>
        <v>0.37885521671385786</v>
      </c>
      <c r="Z14" s="48"/>
    </row>
    <row r="15" spans="1:28" ht="14.25" customHeight="1" x14ac:dyDescent="0.25">
      <c r="A15" s="10">
        <v>12</v>
      </c>
      <c r="B15" s="15" t="s">
        <v>15</v>
      </c>
      <c r="C15" s="11" t="s">
        <v>34</v>
      </c>
      <c r="D15" s="14" t="s">
        <v>13</v>
      </c>
      <c r="E15" s="19">
        <v>50</v>
      </c>
      <c r="F15" s="23">
        <v>70701.223859649122</v>
      </c>
      <c r="G15" s="8">
        <f t="shared" si="1"/>
        <v>13433.232533333334</v>
      </c>
      <c r="H15" s="8">
        <f t="shared" si="2"/>
        <v>84134.456392982451</v>
      </c>
      <c r="I15" s="24">
        <f t="shared" si="3"/>
        <v>4206722.8196491227</v>
      </c>
      <c r="J15" s="31">
        <v>0</v>
      </c>
      <c r="K15" s="32">
        <f t="shared" si="15"/>
        <v>0</v>
      </c>
      <c r="L15" s="32">
        <f t="shared" si="4"/>
        <v>0</v>
      </c>
      <c r="M15" s="33">
        <f t="shared" si="14"/>
        <v>0</v>
      </c>
      <c r="N15" s="23">
        <v>28103</v>
      </c>
      <c r="O15" s="8">
        <f>N15*19%</f>
        <v>5339.57</v>
      </c>
      <c r="P15" s="8">
        <f t="shared" si="6"/>
        <v>33442.57</v>
      </c>
      <c r="Q15" s="24">
        <f>P15*E15</f>
        <v>1672128.5</v>
      </c>
      <c r="R15" s="23">
        <v>41800</v>
      </c>
      <c r="S15" s="8">
        <f t="shared" si="8"/>
        <v>7942</v>
      </c>
      <c r="T15" s="8">
        <f t="shared" si="9"/>
        <v>49742</v>
      </c>
      <c r="U15" s="37">
        <f t="shared" si="0"/>
        <v>2487100</v>
      </c>
      <c r="V15" s="41">
        <f>AVERAGE(I15,Q15,U15)</f>
        <v>2788650.4398830407</v>
      </c>
      <c r="W15" s="41">
        <f>MEDIAN(I15,Q15,U15)</f>
        <v>2487100</v>
      </c>
      <c r="X15" s="41">
        <f>STDEV(I15,Q15,U15)</f>
        <v>1293924.87886455</v>
      </c>
      <c r="Y15" s="47">
        <f t="shared" si="13"/>
        <v>0.46399679944067096</v>
      </c>
      <c r="Z15" s="48"/>
    </row>
    <row r="16" spans="1:28" ht="19.5" customHeight="1" thickBot="1" x14ac:dyDescent="0.3">
      <c r="A16" s="10">
        <v>13</v>
      </c>
      <c r="B16" s="15" t="s">
        <v>15</v>
      </c>
      <c r="C16" s="11" t="s">
        <v>35</v>
      </c>
      <c r="D16" s="14" t="s">
        <v>14</v>
      </c>
      <c r="E16" s="19">
        <v>250</v>
      </c>
      <c r="F16" s="25">
        <v>40139.280701754389</v>
      </c>
      <c r="G16" s="26">
        <f t="shared" si="1"/>
        <v>7626.463333333334</v>
      </c>
      <c r="H16" s="26">
        <f t="shared" si="2"/>
        <v>47765.744035087722</v>
      </c>
      <c r="I16" s="27">
        <f t="shared" si="3"/>
        <v>11941436.00877193</v>
      </c>
      <c r="J16" s="34">
        <v>0</v>
      </c>
      <c r="K16" s="35">
        <f t="shared" si="15"/>
        <v>0</v>
      </c>
      <c r="L16" s="35">
        <f t="shared" si="4"/>
        <v>0</v>
      </c>
      <c r="M16" s="36">
        <f t="shared" si="14"/>
        <v>0</v>
      </c>
      <c r="N16" s="25">
        <v>13000</v>
      </c>
      <c r="O16" s="26">
        <f>N16*19%</f>
        <v>2470</v>
      </c>
      <c r="P16" s="26">
        <f t="shared" si="6"/>
        <v>15470</v>
      </c>
      <c r="Q16" s="27">
        <f>P16*E16</f>
        <v>3867500</v>
      </c>
      <c r="R16" s="25">
        <v>9000</v>
      </c>
      <c r="S16" s="26">
        <f t="shared" si="8"/>
        <v>1710</v>
      </c>
      <c r="T16" s="26">
        <f t="shared" si="9"/>
        <v>10710</v>
      </c>
      <c r="U16" s="38">
        <f t="shared" si="0"/>
        <v>2677500</v>
      </c>
      <c r="V16" s="41">
        <f>AVERAGE(I16,Q16,U16,)</f>
        <v>4621609.0021929825</v>
      </c>
      <c r="W16" s="41">
        <f>MEDIAN(I16,Q16,U16)</f>
        <v>3867500</v>
      </c>
      <c r="X16" s="41">
        <f>STDEV(I16,Q16,U16)</f>
        <v>5040255.500275841</v>
      </c>
      <c r="Y16" s="47">
        <f>X16/V16</f>
        <v>1.0905845773375047</v>
      </c>
      <c r="Z16" s="48">
        <v>43223300</v>
      </c>
    </row>
    <row r="17" spans="1:25" ht="15.75" thickBot="1" x14ac:dyDescent="0.3">
      <c r="A17" s="28"/>
      <c r="B17" s="63" t="s">
        <v>36</v>
      </c>
      <c r="C17" s="63"/>
      <c r="D17" s="63"/>
      <c r="E17" s="63"/>
      <c r="F17" s="63"/>
      <c r="G17" s="63"/>
      <c r="H17" s="63"/>
      <c r="I17" s="29">
        <f>SUM(I4:I16)</f>
        <v>1359421294.2032864</v>
      </c>
      <c r="M17" s="29">
        <f>SUM(M4:M16)</f>
        <v>868065197.52787995</v>
      </c>
      <c r="Q17" s="29">
        <f>SUM(Q4:Q16)</f>
        <v>855990393.01999998</v>
      </c>
      <c r="U17" s="39">
        <f>SUM(U4:U16)</f>
        <v>843802677.20000005</v>
      </c>
      <c r="V17" s="42">
        <f>SUM(V4:V16)</f>
        <v>993238955.39422727</v>
      </c>
      <c r="W17" s="42">
        <f>SUM(W4:W16)</f>
        <v>890209969.63895071</v>
      </c>
      <c r="X17" s="42">
        <f>SUM(X4:X16)</f>
        <v>476733285.35335362</v>
      </c>
      <c r="Y17" s="45">
        <f>X17/V17</f>
        <v>0.4799784410027827</v>
      </c>
    </row>
    <row r="18" spans="1:25" x14ac:dyDescent="0.25">
      <c r="V18" s="9">
        <f>AVERAGE(I17:U17)</f>
        <v>981819890.48779154</v>
      </c>
      <c r="W18" s="9"/>
    </row>
    <row r="20" spans="1:25" x14ac:dyDescent="0.25">
      <c r="Q20" s="9"/>
    </row>
    <row r="22" spans="1:25" x14ac:dyDescent="0.25">
      <c r="Q22" s="9"/>
    </row>
  </sheetData>
  <mergeCells count="5">
    <mergeCell ref="F2:I2"/>
    <mergeCell ref="J2:M2"/>
    <mergeCell ref="N2:Q2"/>
    <mergeCell ref="R2:U2"/>
    <mergeCell ref="B17:H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Ajustado </vt:lpstr>
      <vt:lpstr>Hoja1 (2)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Isabel Aguilar Duque</dc:creator>
  <cp:lastModifiedBy>Juliana Isabel Aguilar Duque</cp:lastModifiedBy>
  <dcterms:created xsi:type="dcterms:W3CDTF">2024-10-23T19:24:59Z</dcterms:created>
  <dcterms:modified xsi:type="dcterms:W3CDTF">2024-11-13T12:54:53Z</dcterms:modified>
</cp:coreProperties>
</file>