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7250ac9f8da0b8/Desktop/MARZO 2023/REMODELACION/"/>
    </mc:Choice>
  </mc:AlternateContent>
  <xr:revisionPtr revIDLastSave="0" documentId="8_{97FA08B4-952B-4362-9409-33078DDDBC8C}" xr6:coauthVersionLast="47" xr6:coauthVersionMax="47" xr10:uidLastSave="{00000000-0000-0000-0000-000000000000}"/>
  <bookViews>
    <workbookView xWindow="-110" yWindow="-110" windowWidth="19420" windowHeight="10300" firstSheet="3" activeTab="4" xr2:uid="{FC871494-0784-42DF-A826-9DC889107B59}"/>
  </bookViews>
  <sheets>
    <sheet name="23Feb" sheetId="1" state="hidden" r:id="rId1"/>
    <sheet name="AU-27Feb" sheetId="3" state="hidden" r:id="rId2"/>
    <sheet name="IVA-27Feb" sheetId="4" state="hidden" r:id="rId3"/>
    <sheet name="AU" sheetId="7" r:id="rId4"/>
    <sheet name="IVA" sheetId="8" r:id="rId5"/>
  </sheets>
  <externalReferences>
    <externalReference r:id="rId6"/>
  </externalReferences>
  <definedNames>
    <definedName name="_xlnm._FilterDatabase" localSheetId="0" hidden="1">'23Feb'!#REF!</definedName>
    <definedName name="_xlnm._FilterDatabase" localSheetId="1" hidden="1">'AU-27Feb'!#REF!</definedName>
    <definedName name="aaaaaa" localSheetId="1">#REF!</definedName>
    <definedName name="aaaaaa">#REF!</definedName>
    <definedName name="_xlnm.Print_Area" localSheetId="0">'23Feb'!$B$1:$G$112</definedName>
    <definedName name="_xlnm.Print_Area" localSheetId="1">'AU-27Feb'!$B$1:$G$112</definedName>
    <definedName name="_xlnm.Print_Area" localSheetId="2">'IVA-27Feb'!$A$1:$F$67</definedName>
    <definedName name="_xlnm.Print_Area">#REF!</definedName>
    <definedName name="e" localSheetId="1">#REF!</definedName>
    <definedName name="e">#REF!</definedName>
    <definedName name="PROGRAMADO" localSheetId="1">#REF!</definedName>
    <definedName name="PROGRAMADO">#REF!</definedName>
    <definedName name="xxxx" localSheetId="1">#REF!</definedName>
    <definedName name="x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8" l="1"/>
  <c r="G18" i="8"/>
  <c r="G17" i="8"/>
  <c r="G16" i="8"/>
  <c r="G15" i="8"/>
  <c r="G14" i="8"/>
  <c r="G13" i="8"/>
  <c r="G12" i="8"/>
  <c r="G11" i="8"/>
  <c r="G10" i="8"/>
  <c r="G9" i="8"/>
  <c r="G8" i="8"/>
  <c r="G9" i="7"/>
  <c r="G66" i="7"/>
  <c r="G65" i="7"/>
  <c r="G64" i="7"/>
  <c r="G63" i="7"/>
  <c r="G62" i="7"/>
  <c r="G61" i="7"/>
  <c r="G60" i="7"/>
  <c r="G59" i="7"/>
  <c r="G58" i="7"/>
  <c r="G57" i="7"/>
  <c r="G55" i="7"/>
  <c r="G54" i="7"/>
  <c r="G53" i="7"/>
  <c r="G52" i="7"/>
  <c r="G51" i="7"/>
  <c r="G50" i="7"/>
  <c r="G49" i="7"/>
  <c r="G48" i="7"/>
  <c r="G46" i="7"/>
  <c r="G45" i="7"/>
  <c r="G44" i="7"/>
  <c r="G43" i="7"/>
  <c r="G42" i="7"/>
  <c r="G41" i="7"/>
  <c r="G39" i="7"/>
  <c r="G38" i="7"/>
  <c r="G37" i="7"/>
  <c r="G36" i="7"/>
  <c r="G34" i="7"/>
  <c r="G33" i="7"/>
  <c r="G31" i="7"/>
  <c r="G30" i="7"/>
  <c r="G29" i="7"/>
  <c r="G27" i="7"/>
  <c r="G26" i="7"/>
  <c r="G25" i="7"/>
  <c r="G24" i="7"/>
  <c r="G23" i="7"/>
  <c r="G22" i="7"/>
  <c r="G21" i="7"/>
  <c r="G19" i="7"/>
  <c r="G18" i="7"/>
  <c r="G17" i="7"/>
  <c r="G15" i="7"/>
  <c r="G14" i="7"/>
  <c r="G13" i="7"/>
  <c r="G12" i="7"/>
  <c r="G11" i="7"/>
  <c r="G10" i="7"/>
  <c r="I26" i="3"/>
  <c r="I27" i="3"/>
  <c r="I28" i="3"/>
  <c r="I29" i="3"/>
  <c r="I30" i="3"/>
  <c r="I31" i="3"/>
  <c r="I32" i="3"/>
  <c r="I34" i="3"/>
  <c r="I35" i="3"/>
  <c r="I36" i="3"/>
  <c r="I38" i="3"/>
  <c r="I39" i="3"/>
  <c r="I40" i="3"/>
  <c r="I41" i="3"/>
  <c r="I42" i="3"/>
  <c r="I43" i="3"/>
  <c r="I44" i="3"/>
  <c r="I46" i="3"/>
  <c r="I47" i="3"/>
  <c r="I48" i="3"/>
  <c r="I50" i="3"/>
  <c r="I51" i="3"/>
  <c r="I53" i="3"/>
  <c r="I54" i="3"/>
  <c r="I55" i="3"/>
  <c r="I56" i="3"/>
  <c r="I58" i="3"/>
  <c r="I59" i="3"/>
  <c r="I60" i="3"/>
  <c r="I61" i="3"/>
  <c r="I62" i="3"/>
  <c r="I63" i="3"/>
  <c r="I65" i="3"/>
  <c r="I66" i="3"/>
  <c r="I67" i="3"/>
  <c r="I68" i="3"/>
  <c r="I69" i="3"/>
  <c r="I70" i="3"/>
  <c r="I71" i="3"/>
  <c r="I72" i="3"/>
  <c r="G20" i="8" l="1"/>
  <c r="G21" i="8" s="1"/>
  <c r="G22" i="8" s="1"/>
  <c r="I37" i="3"/>
  <c r="I52" i="3"/>
  <c r="I45" i="3"/>
  <c r="I49" i="3"/>
  <c r="I57" i="3"/>
  <c r="I33" i="3"/>
  <c r="I73" i="3"/>
  <c r="I25" i="3"/>
  <c r="I64" i="3"/>
  <c r="I24" i="4"/>
  <c r="J24" i="4"/>
  <c r="M24" i="4"/>
  <c r="N24" i="4"/>
  <c r="O24" i="4"/>
  <c r="P24" i="4"/>
  <c r="Q24" i="4"/>
  <c r="R24" i="4"/>
  <c r="S24" i="4"/>
  <c r="T24" i="4"/>
  <c r="U24" i="4"/>
  <c r="W24" i="4"/>
  <c r="X24" i="4"/>
  <c r="Y24" i="4"/>
  <c r="Z24" i="4"/>
  <c r="AA24" i="4"/>
  <c r="AB24" i="4"/>
  <c r="AD24" i="4"/>
  <c r="AE24" i="4"/>
  <c r="AF24" i="4"/>
  <c r="AH24" i="4"/>
  <c r="AI24" i="4"/>
  <c r="AJ24" i="4"/>
  <c r="AK24" i="4"/>
  <c r="AL24" i="4"/>
  <c r="AM24" i="4"/>
  <c r="AN24" i="4"/>
  <c r="AP24" i="4"/>
  <c r="AQ24" i="4"/>
  <c r="AR24" i="4"/>
  <c r="AS24" i="4"/>
  <c r="AT36" i="4"/>
  <c r="F36" i="4"/>
  <c r="AT35" i="4"/>
  <c r="F35" i="4"/>
  <c r="AT34" i="4"/>
  <c r="F34" i="4"/>
  <c r="AT33" i="4"/>
  <c r="F33" i="4"/>
  <c r="AT32" i="4"/>
  <c r="AT31" i="4"/>
  <c r="AO31" i="4"/>
  <c r="AT30" i="4"/>
  <c r="D30" i="4" s="1"/>
  <c r="AT29" i="4"/>
  <c r="D29" i="4" s="1"/>
  <c r="AT28" i="4"/>
  <c r="D28" i="4" s="1"/>
  <c r="AT27" i="4"/>
  <c r="D27" i="4" s="1"/>
  <c r="AT26" i="4"/>
  <c r="D26" i="4" s="1"/>
  <c r="AT25" i="4"/>
  <c r="D25" i="4" s="1"/>
  <c r="AE20" i="4"/>
  <c r="I14" i="4"/>
  <c r="G70" i="7" l="1"/>
  <c r="G69" i="7"/>
  <c r="AW32" i="4"/>
  <c r="D32" i="4" s="1"/>
  <c r="F32" i="4" s="1"/>
  <c r="D31" i="4"/>
  <c r="F31" i="4" s="1"/>
  <c r="F30" i="4"/>
  <c r="F25" i="4"/>
  <c r="F26" i="4"/>
  <c r="F29" i="4"/>
  <c r="F27" i="4"/>
  <c r="F28" i="4"/>
  <c r="E82" i="3"/>
  <c r="G82" i="3" s="1"/>
  <c r="E81" i="3"/>
  <c r="G81" i="3" s="1"/>
  <c r="E80" i="3"/>
  <c r="G80" i="3" s="1"/>
  <c r="E79" i="3"/>
  <c r="G79" i="3" s="1"/>
  <c r="E78" i="3"/>
  <c r="G78" i="3" s="1"/>
  <c r="E77" i="3"/>
  <c r="G77" i="3" s="1"/>
  <c r="E76" i="3"/>
  <c r="G76" i="3" s="1"/>
  <c r="E75" i="3"/>
  <c r="G75" i="3" s="1"/>
  <c r="E74" i="3"/>
  <c r="G74" i="3" s="1"/>
  <c r="AQ73" i="3"/>
  <c r="AI73" i="3"/>
  <c r="AE73" i="3"/>
  <c r="AD73" i="3"/>
  <c r="X73" i="3"/>
  <c r="N73" i="3"/>
  <c r="M73" i="3"/>
  <c r="G71" i="3"/>
  <c r="G70" i="3"/>
  <c r="G69" i="3"/>
  <c r="G68" i="3"/>
  <c r="E66" i="3"/>
  <c r="G66" i="3" s="1"/>
  <c r="E65" i="3"/>
  <c r="G65" i="3" s="1"/>
  <c r="E64" i="3"/>
  <c r="G64" i="3" s="1"/>
  <c r="AI62" i="3"/>
  <c r="AG62" i="3"/>
  <c r="AC62" i="3"/>
  <c r="V62" i="3"/>
  <c r="E62" i="3" s="1"/>
  <c r="G62" i="3" s="1"/>
  <c r="AG61" i="3"/>
  <c r="E61" i="3" s="1"/>
  <c r="G61" i="3" s="1"/>
  <c r="E60" i="3"/>
  <c r="G60" i="3" s="1"/>
  <c r="E59" i="3"/>
  <c r="G59" i="3" s="1"/>
  <c r="E58" i="3"/>
  <c r="G58" i="3" s="1"/>
  <c r="AQ57" i="3"/>
  <c r="E57" i="3"/>
  <c r="G57" i="3" s="1"/>
  <c r="G55" i="3"/>
  <c r="E54" i="3"/>
  <c r="G54" i="3" s="1"/>
  <c r="E53" i="3"/>
  <c r="G53" i="3" s="1"/>
  <c r="AD52" i="3"/>
  <c r="E52" i="3" s="1"/>
  <c r="G52" i="3" s="1"/>
  <c r="AQ50" i="3"/>
  <c r="E50" i="3"/>
  <c r="G50" i="3" s="1"/>
  <c r="E49" i="3"/>
  <c r="G49" i="3" s="1"/>
  <c r="E47" i="3"/>
  <c r="G47" i="3" s="1"/>
  <c r="E46" i="3"/>
  <c r="G46" i="3" s="1"/>
  <c r="E45" i="3"/>
  <c r="G45" i="3" s="1"/>
  <c r="AD43" i="3"/>
  <c r="E43" i="3" s="1"/>
  <c r="G43" i="3" s="1"/>
  <c r="AN42" i="3"/>
  <c r="AK42" i="3"/>
  <c r="E42" i="3" s="1"/>
  <c r="G42" i="3" s="1"/>
  <c r="AN41" i="3"/>
  <c r="AK41" i="3"/>
  <c r="E41" i="3" s="1"/>
  <c r="G41" i="3" s="1"/>
  <c r="M40" i="3"/>
  <c r="E40" i="3"/>
  <c r="G40" i="3" s="1"/>
  <c r="AH39" i="3"/>
  <c r="E39" i="3" s="1"/>
  <c r="G39" i="3" s="1"/>
  <c r="E38" i="3"/>
  <c r="G38" i="3" s="1"/>
  <c r="E36" i="3"/>
  <c r="G36" i="3" s="1"/>
  <c r="E35" i="3"/>
  <c r="G35" i="3" s="1"/>
  <c r="E34" i="3"/>
  <c r="G34" i="3" s="1"/>
  <c r="E32" i="3"/>
  <c r="G32" i="3" s="1"/>
  <c r="E31" i="3"/>
  <c r="G31" i="3" s="1"/>
  <c r="G30" i="3"/>
  <c r="E30" i="3"/>
  <c r="E29" i="3"/>
  <c r="G29" i="3" s="1"/>
  <c r="E28" i="3"/>
  <c r="G28" i="3" s="1"/>
  <c r="G27" i="3"/>
  <c r="E27" i="3"/>
  <c r="E26" i="3"/>
  <c r="G26" i="3" s="1"/>
  <c r="AU25" i="3"/>
  <c r="AT25" i="3"/>
  <c r="AS25" i="3"/>
  <c r="AR25" i="3"/>
  <c r="AP25" i="3"/>
  <c r="AO25" i="3"/>
  <c r="AN25" i="3"/>
  <c r="AM25" i="3"/>
  <c r="AL25" i="3"/>
  <c r="AK25" i="3"/>
  <c r="AJ25" i="3"/>
  <c r="AH25" i="3"/>
  <c r="AG25" i="3"/>
  <c r="AF25" i="3"/>
  <c r="AD25" i="3"/>
  <c r="AC25" i="3"/>
  <c r="AB25" i="3"/>
  <c r="AA25" i="3"/>
  <c r="Z25" i="3"/>
  <c r="Y25" i="3"/>
  <c r="W25" i="3"/>
  <c r="V25" i="3"/>
  <c r="U25" i="3"/>
  <c r="T25" i="3"/>
  <c r="S25" i="3"/>
  <c r="R25" i="3"/>
  <c r="Q25" i="3"/>
  <c r="P25" i="3"/>
  <c r="O25" i="3"/>
  <c r="L25" i="3"/>
  <c r="K25" i="3"/>
  <c r="AU24" i="3"/>
  <c r="AU73" i="3" s="1"/>
  <c r="AT24" i="3"/>
  <c r="AT73" i="3" s="1"/>
  <c r="AS24" i="3"/>
  <c r="AS73" i="3" s="1"/>
  <c r="AR24" i="3"/>
  <c r="AR73" i="3" s="1"/>
  <c r="AP24" i="3"/>
  <c r="AP73" i="3" s="1"/>
  <c r="AO24" i="3"/>
  <c r="AO73" i="3" s="1"/>
  <c r="AN24" i="3"/>
  <c r="AN73" i="3" s="1"/>
  <c r="AM24" i="3"/>
  <c r="AM73" i="3" s="1"/>
  <c r="AL24" i="3"/>
  <c r="AL73" i="3" s="1"/>
  <c r="AK24" i="3"/>
  <c r="AK73" i="3" s="1"/>
  <c r="AJ24" i="3"/>
  <c r="AJ73" i="3" s="1"/>
  <c r="AH24" i="3"/>
  <c r="AH73" i="3" s="1"/>
  <c r="AG24" i="3"/>
  <c r="AG73" i="3" s="1"/>
  <c r="AF24" i="3"/>
  <c r="AF73" i="3" s="1"/>
  <c r="AD24" i="3"/>
  <c r="AC24" i="3"/>
  <c r="AC73" i="3" s="1"/>
  <c r="AB24" i="3"/>
  <c r="AB73" i="3" s="1"/>
  <c r="AA24" i="3"/>
  <c r="AA73" i="3" s="1"/>
  <c r="Z24" i="3"/>
  <c r="Z73" i="3" s="1"/>
  <c r="Y24" i="3"/>
  <c r="Y73" i="3" s="1"/>
  <c r="W24" i="3"/>
  <c r="W73" i="3" s="1"/>
  <c r="V24" i="3"/>
  <c r="V73" i="3" s="1"/>
  <c r="U24" i="3"/>
  <c r="U73" i="3" s="1"/>
  <c r="T24" i="3"/>
  <c r="T73" i="3" s="1"/>
  <c r="S24" i="3"/>
  <c r="S73" i="3" s="1"/>
  <c r="R24" i="3"/>
  <c r="R73" i="3" s="1"/>
  <c r="Q24" i="3"/>
  <c r="Q73" i="3" s="1"/>
  <c r="P24" i="3"/>
  <c r="P73" i="3" s="1"/>
  <c r="O24" i="3"/>
  <c r="O73" i="3" s="1"/>
  <c r="L24" i="3"/>
  <c r="L73" i="3" s="1"/>
  <c r="K24" i="3"/>
  <c r="K73" i="3" s="1"/>
  <c r="AG20" i="3"/>
  <c r="G71" i="7" l="1"/>
  <c r="F37" i="4"/>
  <c r="H48" i="3"/>
  <c r="H37" i="3"/>
  <c r="H56" i="3"/>
  <c r="E73" i="3"/>
  <c r="G73" i="3" s="1"/>
  <c r="H72" i="3" s="1"/>
  <c r="H51" i="3"/>
  <c r="H33" i="3"/>
  <c r="H25" i="3"/>
  <c r="H44" i="3"/>
  <c r="AY67" i="3"/>
  <c r="E67" i="3" s="1"/>
  <c r="G67" i="3" s="1"/>
  <c r="H63" i="3" s="1"/>
  <c r="F38" i="4" l="1"/>
  <c r="F39" i="4" s="1"/>
  <c r="G84" i="3"/>
  <c r="G26" i="1"/>
  <c r="E26" i="1"/>
  <c r="E82" i="1"/>
  <c r="G82" i="1" s="1"/>
  <c r="E81" i="1"/>
  <c r="G81" i="1" s="1"/>
  <c r="E80" i="1"/>
  <c r="G80" i="1" s="1"/>
  <c r="E79" i="1"/>
  <c r="G79" i="1" s="1"/>
  <c r="E78" i="1"/>
  <c r="G78" i="1" s="1"/>
  <c r="E77" i="1"/>
  <c r="G77" i="1" s="1"/>
  <c r="E76" i="1"/>
  <c r="G76" i="1" s="1"/>
  <c r="E75" i="1"/>
  <c r="G75" i="1" s="1"/>
  <c r="E74" i="1"/>
  <c r="G74" i="1" s="1"/>
  <c r="AP73" i="1"/>
  <c r="AH73" i="1"/>
  <c r="AD73" i="1"/>
  <c r="W73" i="1"/>
  <c r="M73" i="1"/>
  <c r="L73" i="1"/>
  <c r="G71" i="1"/>
  <c r="G70" i="1"/>
  <c r="G69" i="1"/>
  <c r="G68" i="1"/>
  <c r="E66" i="1"/>
  <c r="G66" i="1" s="1"/>
  <c r="E65" i="1"/>
  <c r="G65" i="1" s="1"/>
  <c r="E64" i="1"/>
  <c r="G64" i="1" s="1"/>
  <c r="AH62" i="1"/>
  <c r="AF62" i="1"/>
  <c r="AB62" i="1"/>
  <c r="U62" i="1"/>
  <c r="AF61" i="1"/>
  <c r="E61" i="1" s="1"/>
  <c r="G61" i="1" s="1"/>
  <c r="E60" i="1"/>
  <c r="G60" i="1" s="1"/>
  <c r="E59" i="1"/>
  <c r="G59" i="1" s="1"/>
  <c r="E58" i="1"/>
  <c r="G58" i="1" s="1"/>
  <c r="AP57" i="1"/>
  <c r="E57" i="1" s="1"/>
  <c r="G57" i="1" s="1"/>
  <c r="G55" i="1"/>
  <c r="E54" i="1"/>
  <c r="G54" i="1" s="1"/>
  <c r="E53" i="1"/>
  <c r="G53" i="1" s="1"/>
  <c r="AC52" i="1"/>
  <c r="E52" i="1" s="1"/>
  <c r="G52" i="1" s="1"/>
  <c r="AP50" i="1"/>
  <c r="E50" i="1" s="1"/>
  <c r="G50" i="1" s="1"/>
  <c r="E49" i="1"/>
  <c r="G49" i="1" s="1"/>
  <c r="E47" i="1"/>
  <c r="G47" i="1" s="1"/>
  <c r="E46" i="1"/>
  <c r="G46" i="1" s="1"/>
  <c r="E45" i="1"/>
  <c r="G45" i="1" s="1"/>
  <c r="AC43" i="1"/>
  <c r="E43" i="1" s="1"/>
  <c r="G43" i="1" s="1"/>
  <c r="AM42" i="1"/>
  <c r="AJ42" i="1"/>
  <c r="E42" i="1" s="1"/>
  <c r="G42" i="1" s="1"/>
  <c r="AM41" i="1"/>
  <c r="AJ41" i="1"/>
  <c r="L40" i="1"/>
  <c r="E40" i="1" s="1"/>
  <c r="G40" i="1" s="1"/>
  <c r="AG39" i="1"/>
  <c r="E39" i="1" s="1"/>
  <c r="G39" i="1" s="1"/>
  <c r="E38" i="1"/>
  <c r="G38" i="1" s="1"/>
  <c r="E36" i="1"/>
  <c r="G36" i="1" s="1"/>
  <c r="E35" i="1"/>
  <c r="G35" i="1" s="1"/>
  <c r="E34" i="1"/>
  <c r="G34" i="1" s="1"/>
  <c r="E32" i="1"/>
  <c r="G32" i="1" s="1"/>
  <c r="E31" i="1"/>
  <c r="G31" i="1" s="1"/>
  <c r="E30" i="1"/>
  <c r="G30" i="1" s="1"/>
  <c r="E29" i="1"/>
  <c r="G29" i="1" s="1"/>
  <c r="E28" i="1"/>
  <c r="G28" i="1" s="1"/>
  <c r="E27" i="1"/>
  <c r="G27" i="1" s="1"/>
  <c r="AT25" i="1"/>
  <c r="AS25" i="1"/>
  <c r="AR25" i="1"/>
  <c r="AQ25" i="1"/>
  <c r="AO25" i="1"/>
  <c r="AN25" i="1"/>
  <c r="AM25" i="1"/>
  <c r="AL25" i="1"/>
  <c r="AK25" i="1"/>
  <c r="AJ25" i="1"/>
  <c r="AI25" i="1"/>
  <c r="AG25" i="1"/>
  <c r="AF25" i="1"/>
  <c r="AE25" i="1"/>
  <c r="AC25" i="1"/>
  <c r="AB25" i="1"/>
  <c r="AA25" i="1"/>
  <c r="Z25" i="1"/>
  <c r="Y25" i="1"/>
  <c r="X25" i="1"/>
  <c r="V25" i="1"/>
  <c r="U25" i="1"/>
  <c r="T25" i="1"/>
  <c r="S25" i="1"/>
  <c r="R25" i="1"/>
  <c r="Q25" i="1"/>
  <c r="P25" i="1"/>
  <c r="O25" i="1"/>
  <c r="N25" i="1"/>
  <c r="K25" i="1"/>
  <c r="J25" i="1"/>
  <c r="AT24" i="1"/>
  <c r="AT73" i="1" s="1"/>
  <c r="AS24" i="1"/>
  <c r="AS73" i="1" s="1"/>
  <c r="AR24" i="1"/>
  <c r="AR73" i="1" s="1"/>
  <c r="AQ24" i="1"/>
  <c r="AQ73" i="1" s="1"/>
  <c r="AO24" i="1"/>
  <c r="AO73" i="1" s="1"/>
  <c r="AN24" i="1"/>
  <c r="AN73" i="1" s="1"/>
  <c r="AM24" i="1"/>
  <c r="AM73" i="1" s="1"/>
  <c r="AL24" i="1"/>
  <c r="AL73" i="1" s="1"/>
  <c r="AK24" i="1"/>
  <c r="AK73" i="1" s="1"/>
  <c r="AJ24" i="1"/>
  <c r="AJ73" i="1" s="1"/>
  <c r="AI24" i="1"/>
  <c r="AI73" i="1" s="1"/>
  <c r="AG24" i="1"/>
  <c r="AG73" i="1" s="1"/>
  <c r="AF24" i="1"/>
  <c r="AF73" i="1" s="1"/>
  <c r="AE24" i="1"/>
  <c r="AE73" i="1" s="1"/>
  <c r="AC24" i="1"/>
  <c r="AC73" i="1" s="1"/>
  <c r="AB24" i="1"/>
  <c r="AB73" i="1" s="1"/>
  <c r="AA24" i="1"/>
  <c r="AA73" i="1" s="1"/>
  <c r="Z24" i="1"/>
  <c r="Z73" i="1" s="1"/>
  <c r="Y24" i="1"/>
  <c r="Y73" i="1" s="1"/>
  <c r="X24" i="1"/>
  <c r="X73" i="1" s="1"/>
  <c r="V24" i="1"/>
  <c r="V73" i="1" s="1"/>
  <c r="U24" i="1"/>
  <c r="U73" i="1" s="1"/>
  <c r="T24" i="1"/>
  <c r="T73" i="1" s="1"/>
  <c r="S24" i="1"/>
  <c r="S73" i="1" s="1"/>
  <c r="R24" i="1"/>
  <c r="R73" i="1" s="1"/>
  <c r="Q24" i="1"/>
  <c r="Q73" i="1" s="1"/>
  <c r="P24" i="1"/>
  <c r="P73" i="1" s="1"/>
  <c r="O24" i="1"/>
  <c r="O73" i="1" s="1"/>
  <c r="N24" i="1"/>
  <c r="N73" i="1" s="1"/>
  <c r="K24" i="1"/>
  <c r="K73" i="1" s="1"/>
  <c r="J24" i="1"/>
  <c r="J73" i="1" s="1"/>
  <c r="E73" i="1" s="1"/>
  <c r="AF20" i="1"/>
  <c r="F41" i="4" l="1"/>
  <c r="G89" i="3"/>
  <c r="G86" i="3"/>
  <c r="G85" i="3"/>
  <c r="G87" i="3" s="1"/>
  <c r="E41" i="1"/>
  <c r="G41" i="1" s="1"/>
  <c r="H37" i="1" s="1"/>
  <c r="E62" i="1"/>
  <c r="G62" i="1" s="1"/>
  <c r="H56" i="1" s="1"/>
  <c r="G73" i="1"/>
  <c r="H72" i="1" s="1"/>
  <c r="H33" i="1"/>
  <c r="H25" i="1"/>
  <c r="H48" i="1"/>
  <c r="H44" i="1"/>
  <c r="H51" i="1"/>
  <c r="AX67" i="1"/>
  <c r="E67" i="1" s="1"/>
  <c r="G67" i="1" s="1"/>
  <c r="H63" i="1" l="1"/>
  <c r="G84" i="1"/>
  <c r="G85" i="1" l="1"/>
  <c r="G87" i="1" s="1"/>
  <c r="G8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J21" authorId="0" shapeId="0" xr:uid="{3B44DA5C-B1D3-48BA-81D1-9D3D447D6920}">
      <text>
        <r>
          <rPr>
            <b/>
            <sz val="9"/>
            <color indexed="81"/>
            <rFont val="Tahoma"/>
            <family val="2"/>
          </rPr>
          <t xml:space="preserve">Confirmar altura paredes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3" authorId="0" shapeId="0" xr:uid="{7B727128-BD48-4E07-A83C-728DCC95B552}">
      <text>
        <r>
          <rPr>
            <b/>
            <sz val="9"/>
            <color indexed="81"/>
            <rFont val="Tahoma"/>
            <family val="2"/>
          </rPr>
          <t>Incluir algunas cajas de archivo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72" authorId="0" shapeId="0" xr:uid="{DF435CEF-2FF5-4976-8399-2EC044D9CD9D}">
      <text>
        <r>
          <rPr>
            <b/>
            <sz val="9"/>
            <color indexed="81"/>
            <rFont val="Tahoma"/>
            <family val="2"/>
          </rPr>
          <t>factor adicional para pintura y piso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K21" authorId="0" shapeId="0" xr:uid="{C1BE61D1-FA29-4BBF-A608-0E010FD0FA26}">
      <text>
        <r>
          <rPr>
            <b/>
            <sz val="9"/>
            <color indexed="81"/>
            <rFont val="Tahoma"/>
            <family val="2"/>
          </rPr>
          <t xml:space="preserve">Confirmar altura paredes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3" authorId="0" shapeId="0" xr:uid="{EDB2B699-CB35-48F5-A8B9-AAA987B04B42}">
      <text>
        <r>
          <rPr>
            <b/>
            <sz val="9"/>
            <color indexed="81"/>
            <rFont val="Tahoma"/>
            <family val="2"/>
          </rPr>
          <t>Incluir algunas cajas de archivo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2" authorId="0" shapeId="0" xr:uid="{3E21F3A2-17F9-4764-8AD8-52C3D8FEDCB8}">
      <text>
        <r>
          <rPr>
            <b/>
            <sz val="9"/>
            <color indexed="81"/>
            <rFont val="Tahoma"/>
            <family val="2"/>
          </rPr>
          <t>factor adicional para pintura y piso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I21" authorId="0" shapeId="0" xr:uid="{8E54184C-DB62-4024-BD16-DAC32739F839}">
      <text>
        <r>
          <rPr>
            <b/>
            <sz val="9"/>
            <color indexed="81"/>
            <rFont val="Tahoma"/>
            <family val="2"/>
          </rPr>
          <t xml:space="preserve">Confirmar altura paredes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22" authorId="0" shapeId="0" xr:uid="{85B56DF1-C4B3-42AD-92D7-970BC2EF6D37}">
      <text>
        <r>
          <rPr>
            <b/>
            <sz val="9"/>
            <color indexed="81"/>
            <rFont val="Tahoma"/>
            <family val="2"/>
          </rPr>
          <t xml:space="preserve">Cuando el capitulo no coincide exactamente con la descripción en la EDT o combina varios  paquetes de trabajo aclarar, para garantizar q no este quedando ningun paquete por fuera del ppto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C16" authorId="0" shapeId="0" xr:uid="{558CF81D-C4DC-439A-ABBC-7EEEF330C445}">
      <text>
        <r>
          <rPr>
            <b/>
            <sz val="9"/>
            <color indexed="81"/>
            <rFont val="Tahoma"/>
            <family val="2"/>
          </rPr>
          <t>Incluir algunas cajas de archivo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<sst xmlns="http://schemas.openxmlformats.org/spreadsheetml/2006/main" count="790" uniqueCount="224">
  <si>
    <t>NIT: 900.662.684-2</t>
  </si>
  <si>
    <t xml:space="preserve">Supervisora </t>
  </si>
  <si>
    <t>Empresa de seguridad Urbana - ESU</t>
  </si>
  <si>
    <t>La ciudad</t>
  </si>
  <si>
    <t>Asunto:</t>
  </si>
  <si>
    <t>Cordial saludo</t>
  </si>
  <si>
    <t>En respuesta a su solicitud, me permito presentarle la propuesta para el proyecto mencionado en el asunto:</t>
  </si>
  <si>
    <t>h:</t>
  </si>
  <si>
    <t>1. OFERTA ECONOMICA</t>
  </si>
  <si>
    <t>PISO 1</t>
  </si>
  <si>
    <t>PISO 2</t>
  </si>
  <si>
    <t>EXTERIORES</t>
  </si>
  <si>
    <t>HOLGURA</t>
  </si>
  <si>
    <t>ITEM</t>
  </si>
  <si>
    <t>DESCRIPCIÓN</t>
  </si>
  <si>
    <t>UND</t>
  </si>
  <si>
    <t>CANTIDAD</t>
  </si>
  <si>
    <t>VR/UNITARIO</t>
  </si>
  <si>
    <t>VR/PARCIAL</t>
  </si>
  <si>
    <t>Espacio:</t>
  </si>
  <si>
    <t>Armerillo</t>
  </si>
  <si>
    <t>Monitoreo</t>
  </si>
  <si>
    <t>Patio</t>
  </si>
  <si>
    <t>Camaras</t>
  </si>
  <si>
    <t>Planeación</t>
  </si>
  <si>
    <t>Logistica</t>
  </si>
  <si>
    <t>Denuncias</t>
  </si>
  <si>
    <t>A. Ciudadano</t>
  </si>
  <si>
    <t>T Hummano</t>
  </si>
  <si>
    <t>Pasillo</t>
  </si>
  <si>
    <t>W.C 1</t>
  </si>
  <si>
    <t>Radios</t>
  </si>
  <si>
    <t>M. Protección</t>
  </si>
  <si>
    <t>Radicación</t>
  </si>
  <si>
    <t>Guardia</t>
  </si>
  <si>
    <t>Cocineta</t>
  </si>
  <si>
    <t>W.C 2</t>
  </si>
  <si>
    <t>O.Comandate</t>
  </si>
  <si>
    <t>Sala CIEPS</t>
  </si>
  <si>
    <t>Baños</t>
  </si>
  <si>
    <t>S. Retenidos</t>
  </si>
  <si>
    <t>W.C 3</t>
  </si>
  <si>
    <t>A Hombres 1</t>
  </si>
  <si>
    <t>A Hombres 2</t>
  </si>
  <si>
    <t>A Hombres 3</t>
  </si>
  <si>
    <t>A Hombres 4</t>
  </si>
  <si>
    <t>A Mujeres</t>
  </si>
  <si>
    <t>Circulación 1</t>
  </si>
  <si>
    <t>Archivo</t>
  </si>
  <si>
    <t>Baños a demoler</t>
  </si>
  <si>
    <t>Comoda 1</t>
  </si>
  <si>
    <t>Comoda 2</t>
  </si>
  <si>
    <t>Comoda 3</t>
  </si>
  <si>
    <t>Circulación 2</t>
  </si>
  <si>
    <t>1.1</t>
  </si>
  <si>
    <t>m2 paredes:</t>
  </si>
  <si>
    <t>VENTANERIA</t>
  </si>
  <si>
    <t>m2 piso:</t>
  </si>
  <si>
    <t>Corte y demolición vano ventana 120x85cm en muro de 15cm, incluye revoque, acabados de filetes y disposición final de escombros</t>
  </si>
  <si>
    <t>un</t>
  </si>
  <si>
    <t>1.2</t>
  </si>
  <si>
    <t>Corte y demolición vano ventana 130x55cm en muro de 15cm, incluye revoque, acabados de filetes y disposición final de escombros</t>
  </si>
  <si>
    <t>1.3</t>
  </si>
  <si>
    <t>Corte y demolición vano ventana 250x64cm en muro de 15cm, incluye revoque, acabados de filetes y disposición final de escombros</t>
  </si>
  <si>
    <t>1.4</t>
  </si>
  <si>
    <t>Suministro e instalación de ventana 100-130x85cm, incluye marco en aluminio y vidrio</t>
  </si>
  <si>
    <t>1.5</t>
  </si>
  <si>
    <t>Suministro e instalación de ventana 115-150x55cm, incluye incluye marco en aluminio y vidrio</t>
  </si>
  <si>
    <t>1.6</t>
  </si>
  <si>
    <t>Suministro e instalación de ventana 220-250x65cm, incluyeincluye marco en aluminio y vidrio</t>
  </si>
  <si>
    <t>1.7</t>
  </si>
  <si>
    <t>Desmonte de rejas y resane de ventanas armerillo</t>
  </si>
  <si>
    <t>PUERTAS</t>
  </si>
  <si>
    <t>2.1</t>
  </si>
  <si>
    <t>Suministro e instalación de puerta 90x205cm, incluye marco, puerta y chapa</t>
  </si>
  <si>
    <t>2.2</t>
  </si>
  <si>
    <t>Suministro e instalación de puerta doble ala 155x205cm, incluye marco, puerta y chapa</t>
  </si>
  <si>
    <t>2.3</t>
  </si>
  <si>
    <t>Retiro de reja de seguridad sala detenidos, incluye demolición de viga en base de rejas, resanes y disposición final de escombros</t>
  </si>
  <si>
    <t>RETIROS Y DEMOLISIONES</t>
  </si>
  <si>
    <t>3.1</t>
  </si>
  <si>
    <t>RETIRO DE APARATOS SANITARIOS, incluye el cargue, transporte, botada o recuperación de aparatos sanitarios, lavamanos, lavaderos, orinales. Incluye dsposición final de escombros y la recuperación de los materiales aprovechables y/o su transporte hasta la bodega o el sitio que indique la supervisión en el V.Aburra</t>
  </si>
  <si>
    <t>3.2</t>
  </si>
  <si>
    <t>Demolisión de base y lleno de piso entre 15 y 20cm de espesor, incluye disposición final de escombros</t>
  </si>
  <si>
    <t>m2</t>
  </si>
  <si>
    <t>3.3</t>
  </si>
  <si>
    <t>Demolisión de base y lleno de piso entre 20 y 30cm de espesor, incluye disposición final de escombros</t>
  </si>
  <si>
    <t>3.4</t>
  </si>
  <si>
    <t>Demolisión de enchape en ceramica, incluye disposición final de escombros</t>
  </si>
  <si>
    <t>3.5</t>
  </si>
  <si>
    <t>Demolisión de muro 15cm, incluye disposición final de escombros</t>
  </si>
  <si>
    <t>3.6</t>
  </si>
  <si>
    <t>Demolición y retiro de muro en drywall, incluye dispoción final de escombros</t>
  </si>
  <si>
    <t>TANQUES Y BOMBAS</t>
  </si>
  <si>
    <t>4.1</t>
  </si>
  <si>
    <t>Vaciado de tanques de recina 500lt, incluye maniobra de vaciado y recolección de agua aprovechable</t>
  </si>
  <si>
    <t>4.2</t>
  </si>
  <si>
    <t>Desmonte cuarto de bombas, incluye desconexión y retiro de 2 bombaa de impulsión, tuberías, conexiones electricas, fijación mecanica y reintegro de todos los elementos</t>
  </si>
  <si>
    <t>4.3</t>
  </si>
  <si>
    <t xml:space="preserve">Desmonte y traslado de tanque de recinna 500lt, incluye trasnporte urbano a punto de acopio dentro del area metropolina </t>
  </si>
  <si>
    <t>ENCHAPES</t>
  </si>
  <si>
    <t>5.1</t>
  </si>
  <si>
    <t>Suministro e instalación de enchape de piso, incluye ceramica o granito, pega, lechada y limpieza final</t>
  </si>
  <si>
    <t>5.2</t>
  </si>
  <si>
    <t>Suministro e instalación de enchape de pared, incluye ceramica o, pega, lechada y limpieza final</t>
  </si>
  <si>
    <t>MAMPOSTERIA</t>
  </si>
  <si>
    <t>6.1</t>
  </si>
  <si>
    <t>Construcción de muro en drywall 15cm, incluye estructura metálica, placa, estuco y pintura interior tipo 1</t>
  </si>
  <si>
    <t>6.2</t>
  </si>
  <si>
    <t>Construccion de muro en bloque 15cm con terminación superior en lagrimal, incluye pega y revoque</t>
  </si>
  <si>
    <t>mt</t>
  </si>
  <si>
    <t>6.3</t>
  </si>
  <si>
    <t>Construccion de muro en bloque 15cm, incluye pega y revoque</t>
  </si>
  <si>
    <t>6.4</t>
  </si>
  <si>
    <t>Reparación de columna esquinera</t>
  </si>
  <si>
    <t>REDES HIDROSANITARIAS</t>
  </si>
  <si>
    <t>7.1</t>
  </si>
  <si>
    <t>Retiro de tuberia PVC presión 1/2", 3/4" incluye empalmes, accesorios, sellos y disposición fina de escomobros</t>
  </si>
  <si>
    <t>7.2</t>
  </si>
  <si>
    <t>Instalación de sanitario, incluye pega, conexión abastos, desague y demas accesorios para su correcta instalación</t>
  </si>
  <si>
    <t>7.3</t>
  </si>
  <si>
    <t>Reinstalación de lavamanos, incluye pega, conexión abastos, desague y demas accesorios para su correcta instalación</t>
  </si>
  <si>
    <t>7.4</t>
  </si>
  <si>
    <t>Reinstalación de ducha, incluye pega, conexión abastos, desague y demas accesorios para su correcta instalación</t>
  </si>
  <si>
    <t>7.5</t>
  </si>
  <si>
    <t>Mantenimiento de unidad sanitraria (sanitario, orina o lavamanos), incluye repuestos requeridos para garantizar su adecuado funcionamiento</t>
  </si>
  <si>
    <t>7.6</t>
  </si>
  <si>
    <t>Mantenimiento general a salidas y redes hidrosanitarias, incluye repuestos menores como llaves, fluxometros, mangueras, etc en baños y cocinetas, destaqueo de tuberías que lo permitan sin romper. No iincluye reposición de tuberías ni demolisión de pisos</t>
  </si>
  <si>
    <t>gl</t>
  </si>
  <si>
    <t>REDES ELECTRICAS</t>
  </si>
  <si>
    <t>8.1</t>
  </si>
  <si>
    <t>Retiro de tuberias, canaletas, cajas, luminarias y demas elementos o instalaciones electricas expuestas requeridas, incluye recuperación de elementos aprovechables y disposición final de escombros</t>
  </si>
  <si>
    <t>8.2</t>
  </si>
  <si>
    <t>Mantenimiento de tablero electrico, incluye revisión, identificación y marcación de circutios</t>
  </si>
  <si>
    <t>8.3</t>
  </si>
  <si>
    <t>Mantenimiento general a salidas electricas, incluye repuestos menores como cintas, conectores, tornilleria, cajas de paso, etc y hasta 10 aparatos electricos. No incluye instalación de tuberia y/o cableado nuevo</t>
  </si>
  <si>
    <t>8.4</t>
  </si>
  <si>
    <t>Cambio de luminarias y/o paneles led, incluye elementos de fijación y cable de conexión</t>
  </si>
  <si>
    <t>8.5</t>
  </si>
  <si>
    <t>Suminstro e instalación de tuberia EMT 1/2", incluye grapas, conectores y demas accesorios necesarios para su correcta instalación</t>
  </si>
  <si>
    <t>8.6</t>
  </si>
  <si>
    <t>Suminstro e instalación de tuberia EMT 3/4", incluye grapas, conectores y demas accesorios necesarios para su correcta instalación</t>
  </si>
  <si>
    <t>8.7</t>
  </si>
  <si>
    <t>Suminstro e instalación de caja metalica 12x12x5, incluye todos los accesorios necesarios para su correcta instalación</t>
  </si>
  <si>
    <t>8.8</t>
  </si>
  <si>
    <t>Suminstro e instalación de cable 3x14AWG, incluye cintas, conectores y demas accesorios necesarios para su correcta instalación</t>
  </si>
  <si>
    <t>ACABABOS Y OBRA BLANCA</t>
  </si>
  <si>
    <t>9.1</t>
  </si>
  <si>
    <t>9.2</t>
  </si>
  <si>
    <t xml:space="preserve">Pintura exterior tipo koraza o similar de primera calidad sobre muros estucados, incluye 2 manos o las necesarias hasta obtener una superficie homogena. Incluye suministro y transporte de los materiales, resanes, tapa poros en estuco plástico tipo plastestuco o equivalente diluido en agua proporción 1:2, adecuación de la superficie a intervenir hasta obtener una superficie pareja y homogénea, color a definir </t>
  </si>
  <si>
    <t>9.3</t>
  </si>
  <si>
    <t>TRATAMIENTO DE SUPERFICIE PARA PULIDA Y BRILLADA DE PISO EN GRANO EXISTENTE. Incluye todo lo necesario para su correcta construcción y funcionamiento.</t>
  </si>
  <si>
    <t>9.4</t>
  </si>
  <si>
    <t>Limpieza y lavado de gradas en concreto</t>
  </si>
  <si>
    <t>9.5</t>
  </si>
  <si>
    <t>Limpieza y lavado de canoas perimetrales coliseo</t>
  </si>
  <si>
    <t>9.6</t>
  </si>
  <si>
    <t>Limpieza y lavado de escaleras acceso a tanques</t>
  </si>
  <si>
    <t>9.7</t>
  </si>
  <si>
    <t>Desmonte de teja parqueadero de motos</t>
  </si>
  <si>
    <t>9.8</t>
  </si>
  <si>
    <t>Limpieza de pintura en ventas</t>
  </si>
  <si>
    <t>9.9</t>
  </si>
  <si>
    <t>Reparación y resan de humedades</t>
  </si>
  <si>
    <t>9.10</t>
  </si>
  <si>
    <t xml:space="preserve">Cambio de vidrios </t>
  </si>
  <si>
    <t xml:space="preserve">SUBTOTAL </t>
  </si>
  <si>
    <t>Administración</t>
  </si>
  <si>
    <t xml:space="preserve">Utilidad </t>
  </si>
  <si>
    <t xml:space="preserve">TOTAL </t>
  </si>
  <si>
    <t>3. NOTAS</t>
  </si>
  <si>
    <t>Se liquidara según las cantidades instaladas</t>
  </si>
  <si>
    <t>Estos precios incluyen IVA.</t>
  </si>
  <si>
    <t>Estos precios incluyen suministro, transporte e instalación</t>
  </si>
  <si>
    <t>Condiciones comerciales</t>
  </si>
  <si>
    <t>Forma de pago: 50% Anticipo, 50% Contraentrega a satisfacción</t>
  </si>
  <si>
    <t>Cuenta de corriente Bancolombia No.34-8646-7859 a nombre de Interconectar Ingenieria S.A.S</t>
  </si>
  <si>
    <t>Validez de la oferta: 15 días.</t>
  </si>
  <si>
    <t>Esperamos que nuestra propuesta se ajuste a sus necesidades</t>
  </si>
  <si>
    <t>Atentamente,</t>
  </si>
  <si>
    <t>__________________________</t>
  </si>
  <si>
    <t>Johnny Alexander Bulla</t>
  </si>
  <si>
    <t>Interconectar Ingenieria S.A.S</t>
  </si>
  <si>
    <t>Director de proyectos</t>
  </si>
  <si>
    <t>Cel 300 491 7646</t>
  </si>
  <si>
    <t>Recorrido</t>
  </si>
  <si>
    <t xml:space="preserve">Tiempo de entrega: 5 Semanas </t>
  </si>
  <si>
    <t>Medellín, 21 de Febrero de 2023</t>
  </si>
  <si>
    <t>Ingenieria</t>
  </si>
  <si>
    <t>Lida Mejía</t>
  </si>
  <si>
    <t>Cel: 320 7512569</t>
  </si>
  <si>
    <t>Cotización para realizar las adecuaciones fisicas de la estación de policia Palmas, (antiguo colegio Latino), ubicada en la ciudad de Medellín</t>
  </si>
  <si>
    <t xml:space="preserve">Pintura interior tipo 1 de primera calidad sobre cielos o muros estucados, incluye 2 manos o las necesarias hasta obtener una superficie homogena. Incluye suministro y transporte de los materiales, resanes, tapa poros en estuco plástico tipo plastestuco o equivalente diluido en agua proporción 1:2, adecuación de la superficie a intervenir hasta obtener una superficie pareja y homogénea, color a definir </t>
  </si>
  <si>
    <t>m</t>
  </si>
  <si>
    <t>Medellín, 27 de Febrero de 2023</t>
  </si>
  <si>
    <t>Factor Accesorio + U</t>
  </si>
  <si>
    <t>OBSERVACIONES</t>
  </si>
  <si>
    <t>Suministro  de ventana 100-130x85cm, incluye marco en aluminio y vidrio</t>
  </si>
  <si>
    <t>Suministro  de ventana 115-150x55cm, incluye incluye marco en aluminio y vidrio</t>
  </si>
  <si>
    <t>Suministro  de ventana 220-250x65cm, incluyeincluye marco en aluminio y vidrio</t>
  </si>
  <si>
    <t>Suministro  de puerta 90x205cm, incluye marco, puerta y chapa</t>
  </si>
  <si>
    <t>Suministro  de puerta doble ala 155x205cm, incluye marco, puerta y chapa</t>
  </si>
  <si>
    <t>Suministro  de enchape de piso, incluye ceramica o granito, pega, lechada y limpieza final</t>
  </si>
  <si>
    <t>Suministro  de enchape de pared, incluye ceramica o, pega, lechada y limpieza final</t>
  </si>
  <si>
    <t>Suminstro  de tuberia EMT 1/2", incluye grapas, conectores y demas accesorios necesarios para su correcta instalación</t>
  </si>
  <si>
    <t>Suminstro  de tuberia EMT 3/4", incluye grapas, conectores y demas accesorios necesarios para su correcta instalación</t>
  </si>
  <si>
    <t>Suminstro  de caja metalica 12x12x5, incluye todos los accesorios necesarios para su correcta instalación</t>
  </si>
  <si>
    <t>Suminstro  de cable 3x14AWG, incluye cintas, conectores y demas accesorios necesarios para su correcta instalación</t>
  </si>
  <si>
    <t>Iva 19%</t>
  </si>
  <si>
    <t xml:space="preserve">Estos precios incluyen suministro, transporte </t>
  </si>
  <si>
    <t>TOTAL AU + IVA</t>
  </si>
  <si>
    <t>Instalación de ventana 100-130x85cm, incluye marco en aluminio y vidrio</t>
  </si>
  <si>
    <t>Instalación de ventana 115-150x55cm, incluye incluye marco en aluminio y vidrio</t>
  </si>
  <si>
    <t>Instalación de ventana 220-250x65cm, incluyeincluye marco en aluminio y vidrio</t>
  </si>
  <si>
    <t>Instalación de puerta 90x205cm, incluye marco, puerta y chapa</t>
  </si>
  <si>
    <t>Instalación de puerta doble ala 155x205cm, incluye marco, puerta y chapa</t>
  </si>
  <si>
    <t>Instalación de enchape de piso, incluye ceramica o granito, pega, lechada y limpieza final</t>
  </si>
  <si>
    <t>Instalación de enchape de pared, incluye ceramica o, pega, lechada y limpieza final</t>
  </si>
  <si>
    <t>3.7</t>
  </si>
  <si>
    <t>Retiro de teja en fibrocemento, incluye dispoción final de escombros</t>
  </si>
  <si>
    <t>instalación de tuberia EMT 1/2", incluye grapas, conectores y demas accesorios necesarios para su correcta instalación</t>
  </si>
  <si>
    <t>instalación de tuberia EMT 3/4", incluye grapas, conectores y demas accesorios necesarios para su correcta instalación</t>
  </si>
  <si>
    <t>instalación de caja metalica 12x12x5, incluye todos los accesorios necesarios para su correcta instalación</t>
  </si>
  <si>
    <t>instalación de cable 3x14AWG, incluye cintas, conectores y demas accesorios necesarios para su correcta instalación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</si>
</sst>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#,##0.0"/>
    <numFmt numFmtId="167" formatCode="_ &quot;$&quot;\ * #,##0.00_ ;_ &quot;$&quot;\ * \-#,##0.00_ ;_ &quot;$&quot;\ * &quot;-&quot;??_ ;_ @_ "/>
    <numFmt numFmtId="168" formatCode="&quot;$&quot;\ #,##0"/>
    <numFmt numFmtId="169" formatCode="##,##0.00"/>
    <numFmt numFmtId="170" formatCode="[$$-240A]\ #,##0"/>
    <numFmt numFmtId="171" formatCode="0.0"/>
    <numFmt numFmtId="172" formatCode="0.0%"/>
  </numFmts>
  <fonts count="18" x14ac:knownFonts="1">
    <font>
      <sz val="10"/>
      <name val="Arial"/>
      <family val="2"/>
    </font>
    <font>
      <sz val="10"/>
      <name val="Arial"/>
      <family val="2"/>
    </font>
    <font>
      <sz val="10"/>
      <name val="Calibri Light"/>
      <family val="2"/>
    </font>
    <font>
      <b/>
      <sz val="10"/>
      <name val="Calibri Light"/>
      <family val="2"/>
    </font>
    <font>
      <sz val="10"/>
      <color rgb="FF000000"/>
      <name val="Calibri Light"/>
      <family val="2"/>
    </font>
    <font>
      <sz val="10"/>
      <name val="Calibri"/>
      <family val="2"/>
      <scheme val="minor"/>
    </font>
    <font>
      <sz val="11"/>
      <name val="Arial"/>
      <family val="2"/>
    </font>
    <font>
      <sz val="10"/>
      <color rgb="FFFF0000"/>
      <name val="Calibri Light"/>
      <family val="2"/>
    </font>
    <font>
      <sz val="10"/>
      <color theme="1"/>
      <name val="Calibri Light"/>
      <family val="2"/>
    </font>
    <font>
      <b/>
      <sz val="10"/>
      <color rgb="FFFF0000"/>
      <name val="Calibri Light"/>
      <family val="2"/>
    </font>
    <font>
      <b/>
      <sz val="9"/>
      <name val="Calibri Light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0"/>
      <color rgb="FFFFC000"/>
      <name val="Calibri"/>
      <family val="2"/>
      <scheme val="minor"/>
    </font>
    <font>
      <b/>
      <sz val="10"/>
      <color rgb="FF000000"/>
      <name val="Calibri Light"/>
      <family val="2"/>
    </font>
    <font>
      <b/>
      <i/>
      <sz val="10"/>
      <color theme="9" tint="-0.24997711111789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00">
    <xf numFmtId="0" fontId="0" fillId="0" borderId="0" xfId="0"/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166" fontId="3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0" xfId="0" applyFont="1"/>
    <xf numFmtId="0" fontId="2" fillId="0" borderId="0" xfId="0" applyFont="1"/>
    <xf numFmtId="166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justify"/>
    </xf>
    <xf numFmtId="166" fontId="2" fillId="0" borderId="0" xfId="0" applyNumberFormat="1" applyFont="1" applyAlignment="1">
      <alignment horizontal="justify" vertical="justify"/>
    </xf>
    <xf numFmtId="2" fontId="8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justify"/>
    </xf>
    <xf numFmtId="3" fontId="9" fillId="3" borderId="4" xfId="4" quotePrefix="1" applyNumberFormat="1" applyFont="1" applyFill="1" applyBorder="1" applyAlignment="1">
      <alignment horizontal="center" vertical="center" wrapText="1"/>
    </xf>
    <xf numFmtId="3" fontId="3" fillId="3" borderId="4" xfId="4" quotePrefix="1" applyNumberFormat="1" applyFont="1" applyFill="1" applyBorder="1" applyAlignment="1">
      <alignment vertical="center" wrapText="1"/>
    </xf>
    <xf numFmtId="3" fontId="3" fillId="3" borderId="4" xfId="4" quotePrefix="1" applyNumberFormat="1" applyFont="1" applyFill="1" applyBorder="1" applyAlignment="1">
      <alignment horizontal="center" vertical="center" wrapText="1"/>
    </xf>
    <xf numFmtId="168" fontId="3" fillId="3" borderId="4" xfId="4" quotePrefix="1" applyNumberFormat="1" applyFont="1" applyFill="1" applyBorder="1" applyAlignment="1">
      <alignment horizontal="center" vertical="center" wrapText="1"/>
    </xf>
    <xf numFmtId="166" fontId="3" fillId="3" borderId="4" xfId="4" quotePrefix="1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3" fontId="10" fillId="3" borderId="4" xfId="4" quotePrefix="1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>
      <alignment horizontal="right"/>
    </xf>
    <xf numFmtId="0" fontId="2" fillId="0" borderId="4" xfId="5" applyFont="1" applyBorder="1" applyAlignment="1">
      <alignment horizontal="center" vertical="center"/>
    </xf>
    <xf numFmtId="0" fontId="6" fillId="0" borderId="0" xfId="5" applyFont="1" applyAlignment="1">
      <alignment vertical="center"/>
    </xf>
    <xf numFmtId="0" fontId="14" fillId="2" borderId="4" xfId="1" applyNumberFormat="1" applyFont="1" applyFill="1" applyBorder="1" applyAlignment="1">
      <alignment horizontal="center" vertical="center" wrapText="1" readingOrder="1"/>
    </xf>
    <xf numFmtId="168" fontId="3" fillId="2" borderId="4" xfId="4" quotePrefix="1" applyNumberFormat="1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justify" vertical="center" wrapText="1" readingOrder="1"/>
    </xf>
    <xf numFmtId="166" fontId="4" fillId="2" borderId="4" xfId="0" applyNumberFormat="1" applyFont="1" applyFill="1" applyBorder="1" applyAlignment="1">
      <alignment horizontal="center" vertical="center" wrapText="1" readingOrder="1"/>
    </xf>
    <xf numFmtId="169" fontId="2" fillId="2" borderId="4" xfId="0" applyNumberFormat="1" applyFont="1" applyFill="1" applyBorder="1" applyAlignment="1">
      <alignment horizontal="center" vertical="center" wrapText="1" readingOrder="1"/>
    </xf>
    <xf numFmtId="169" fontId="4" fillId="2" borderId="4" xfId="0" applyNumberFormat="1" applyFont="1" applyFill="1" applyBorder="1" applyAlignment="1">
      <alignment horizontal="center" vertical="center" wrapText="1" readingOrder="1"/>
    </xf>
    <xf numFmtId="0" fontId="15" fillId="0" borderId="0" xfId="0" applyFont="1" applyAlignment="1">
      <alignment horizontal="right"/>
    </xf>
    <xf numFmtId="2" fontId="2" fillId="0" borderId="4" xfId="5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6" applyFont="1" applyBorder="1" applyAlignment="1">
      <alignment horizontal="justify" vertical="center" wrapText="1"/>
    </xf>
    <xf numFmtId="0" fontId="4" fillId="0" borderId="4" xfId="6" applyFont="1" applyBorder="1" applyAlignment="1">
      <alignment horizontal="center" vertical="center" wrapText="1"/>
    </xf>
    <xf numFmtId="166" fontId="4" fillId="0" borderId="4" xfId="1" applyNumberFormat="1" applyFont="1" applyFill="1" applyBorder="1" applyAlignment="1">
      <alignment horizontal="center" vertical="center" wrapText="1"/>
    </xf>
    <xf numFmtId="170" fontId="2" fillId="4" borderId="4" xfId="7" applyNumberFormat="1" applyFont="1" applyFill="1" applyBorder="1" applyAlignment="1">
      <alignment horizontal="right" vertical="center"/>
    </xf>
    <xf numFmtId="170" fontId="2" fillId="0" borderId="4" xfId="7" applyNumberFormat="1" applyFont="1" applyBorder="1" applyAlignment="1">
      <alignment horizontal="right" vertical="center"/>
    </xf>
    <xf numFmtId="0" fontId="5" fillId="0" borderId="0" xfId="5" applyFont="1" applyAlignment="1">
      <alignment horizontal="right" vertical="center"/>
    </xf>
    <xf numFmtId="166" fontId="14" fillId="2" borderId="4" xfId="0" applyNumberFormat="1" applyFont="1" applyFill="1" applyBorder="1" applyAlignment="1">
      <alignment horizontal="justify" vertical="center" wrapText="1" readingOrder="1"/>
    </xf>
    <xf numFmtId="0" fontId="2" fillId="0" borderId="4" xfId="8" applyFont="1" applyBorder="1" applyAlignment="1">
      <alignment horizontal="justify" vertical="top" wrapText="1"/>
    </xf>
    <xf numFmtId="171" fontId="2" fillId="0" borderId="4" xfId="5" applyNumberFormat="1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3" fillId="0" borderId="4" xfId="5" applyFont="1" applyBorder="1" applyAlignment="1">
      <alignment vertical="top"/>
    </xf>
    <xf numFmtId="0" fontId="3" fillId="0" borderId="4" xfId="5" applyFont="1" applyBorder="1" applyAlignment="1">
      <alignment horizontal="center" vertical="top"/>
    </xf>
    <xf numFmtId="166" fontId="3" fillId="0" borderId="4" xfId="5" applyNumberFormat="1" applyFont="1" applyBorder="1" applyAlignment="1">
      <alignment horizontal="center" vertical="top"/>
    </xf>
    <xf numFmtId="168" fontId="3" fillId="0" borderId="4" xfId="5" applyNumberFormat="1" applyFont="1" applyBorder="1" applyAlignment="1">
      <alignment vertical="center"/>
    </xf>
    <xf numFmtId="165" fontId="8" fillId="0" borderId="0" xfId="2" applyNumberFormat="1" applyFont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72" fontId="2" fillId="0" borderId="4" xfId="3" applyNumberFormat="1" applyFont="1" applyBorder="1" applyAlignment="1">
      <alignment horizontal="center"/>
    </xf>
    <xf numFmtId="172" fontId="8" fillId="0" borderId="0" xfId="3" applyNumberFormat="1" applyFont="1" applyAlignment="1">
      <alignment horizontal="center"/>
    </xf>
    <xf numFmtId="9" fontId="2" fillId="0" borderId="4" xfId="3" applyFont="1" applyBorder="1" applyAlignment="1">
      <alignment horizontal="center"/>
    </xf>
    <xf numFmtId="168" fontId="3" fillId="0" borderId="4" xfId="5" applyNumberFormat="1" applyFont="1" applyBorder="1" applyAlignment="1">
      <alignment horizontal="center" vertical="top"/>
    </xf>
    <xf numFmtId="0" fontId="3" fillId="0" borderId="4" xfId="5" applyFont="1" applyBorder="1" applyAlignment="1">
      <alignment vertical="center"/>
    </xf>
    <xf numFmtId="166" fontId="3" fillId="0" borderId="4" xfId="5" applyNumberFormat="1" applyFont="1" applyBorder="1" applyAlignment="1">
      <alignment vertical="top"/>
    </xf>
    <xf numFmtId="165" fontId="8" fillId="0" borderId="0" xfId="0" applyNumberFormat="1" applyFont="1" applyAlignment="1">
      <alignment horizontal="center"/>
    </xf>
    <xf numFmtId="10" fontId="8" fillId="0" borderId="0" xfId="3" applyNumberFormat="1" applyFont="1" applyAlignment="1">
      <alignment horizontal="center"/>
    </xf>
    <xf numFmtId="168" fontId="2" fillId="0" borderId="0" xfId="0" applyNumberFormat="1" applyFont="1" applyAlignment="1">
      <alignment horizontal="justify" vertical="justify"/>
    </xf>
    <xf numFmtId="0" fontId="2" fillId="0" borderId="0" xfId="0" applyFont="1" applyAlignment="1">
      <alignment vertical="center"/>
    </xf>
    <xf numFmtId="166" fontId="2" fillId="0" borderId="0" xfId="0" applyNumberFormat="1" applyFont="1" applyAlignment="1">
      <alignment vertical="center"/>
    </xf>
    <xf numFmtId="168" fontId="2" fillId="0" borderId="0" xfId="0" applyNumberFormat="1" applyFont="1" applyAlignment="1">
      <alignment horizontal="center"/>
    </xf>
    <xf numFmtId="9" fontId="2" fillId="0" borderId="0" xfId="0" applyNumberFormat="1" applyFont="1" applyAlignment="1">
      <alignment horizontal="center"/>
    </xf>
    <xf numFmtId="9" fontId="2" fillId="0" borderId="0" xfId="3" applyFont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166" fontId="2" fillId="0" borderId="0" xfId="0" applyNumberFormat="1" applyFont="1" applyAlignment="1">
      <alignment horizontal="left" vertical="center" wrapText="1"/>
    </xf>
    <xf numFmtId="172" fontId="8" fillId="0" borderId="0" xfId="3" applyNumberFormat="1" applyFont="1" applyAlignment="1">
      <alignment horizontal="center" vertical="center"/>
    </xf>
    <xf numFmtId="9" fontId="2" fillId="0" borderId="0" xfId="3" applyFont="1" applyAlignment="1">
      <alignment horizontal="center"/>
    </xf>
    <xf numFmtId="3" fontId="2" fillId="0" borderId="0" xfId="0" applyNumberFormat="1" applyFont="1"/>
    <xf numFmtId="165" fontId="8" fillId="0" borderId="0" xfId="2" applyNumberFormat="1" applyFont="1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165" fontId="4" fillId="0" borderId="0" xfId="2" applyNumberFormat="1" applyFont="1" applyFill="1" applyBorder="1" applyAlignment="1">
      <alignment horizontal="center" vertical="center" wrapText="1" readingOrder="1"/>
    </xf>
    <xf numFmtId="165" fontId="8" fillId="0" borderId="0" xfId="2" applyNumberFormat="1" applyFont="1" applyFill="1" applyAlignment="1">
      <alignment horizontal="center"/>
    </xf>
    <xf numFmtId="170" fontId="7" fillId="4" borderId="4" xfId="7" applyNumberFormat="1" applyFont="1" applyFill="1" applyBorder="1" applyAlignment="1">
      <alignment horizontal="right" vertical="center"/>
    </xf>
    <xf numFmtId="0" fontId="2" fillId="4" borderId="0" xfId="0" applyFont="1" applyFill="1" applyAlignment="1">
      <alignment vertical="center"/>
    </xf>
    <xf numFmtId="0" fontId="2" fillId="4" borderId="0" xfId="0" applyFont="1" applyFill="1"/>
    <xf numFmtId="166" fontId="2" fillId="4" borderId="0" xfId="0" applyNumberFormat="1" applyFont="1" applyFill="1"/>
    <xf numFmtId="3" fontId="2" fillId="4" borderId="0" xfId="0" applyNumberFormat="1" applyFont="1" applyFill="1"/>
    <xf numFmtId="0" fontId="5" fillId="4" borderId="0" xfId="0" applyFont="1" applyFill="1" applyAlignment="1">
      <alignment horizontal="right"/>
    </xf>
    <xf numFmtId="0" fontId="2" fillId="4" borderId="0" xfId="0" applyFont="1" applyFill="1" applyAlignment="1">
      <alignment horizontal="center"/>
    </xf>
    <xf numFmtId="0" fontId="1" fillId="4" borderId="0" xfId="0" applyFont="1" applyFill="1"/>
    <xf numFmtId="0" fontId="6" fillId="4" borderId="0" xfId="0" applyFont="1" applyFill="1"/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left" vertical="center"/>
    </xf>
    <xf numFmtId="166" fontId="3" fillId="4" borderId="0" xfId="0" applyNumberFormat="1" applyFont="1" applyFill="1" applyAlignment="1">
      <alignment horizontal="left"/>
    </xf>
    <xf numFmtId="0" fontId="2" fillId="4" borderId="0" xfId="0" applyFont="1" applyFill="1" applyAlignment="1">
      <alignment horizontal="left" vertical="center"/>
    </xf>
    <xf numFmtId="0" fontId="7" fillId="4" borderId="0" xfId="0" applyFont="1" applyFill="1"/>
    <xf numFmtId="0" fontId="2" fillId="4" borderId="0" xfId="0" applyFont="1" applyFill="1" applyAlignment="1">
      <alignment horizontal="right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right"/>
    </xf>
    <xf numFmtId="0" fontId="2" fillId="4" borderId="0" xfId="0" applyFont="1" applyFill="1" applyAlignment="1">
      <alignment horizontal="left"/>
    </xf>
    <xf numFmtId="2" fontId="2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justify" vertical="center"/>
    </xf>
    <xf numFmtId="0" fontId="2" fillId="4" borderId="0" xfId="0" applyFont="1" applyFill="1" applyAlignment="1">
      <alignment horizontal="justify" vertical="justify"/>
    </xf>
    <xf numFmtId="166" fontId="2" fillId="4" borderId="0" xfId="0" applyNumberFormat="1" applyFont="1" applyFill="1" applyAlignment="1">
      <alignment horizontal="justify" vertical="justify"/>
    </xf>
    <xf numFmtId="2" fontId="8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 vertical="justify"/>
    </xf>
    <xf numFmtId="3" fontId="9" fillId="4" borderId="4" xfId="4" quotePrefix="1" applyNumberFormat="1" applyFont="1" applyFill="1" applyBorder="1" applyAlignment="1">
      <alignment horizontal="center" vertical="center" wrapText="1"/>
    </xf>
    <xf numFmtId="3" fontId="3" fillId="4" borderId="4" xfId="4" quotePrefix="1" applyNumberFormat="1" applyFont="1" applyFill="1" applyBorder="1" applyAlignment="1">
      <alignment vertical="center" wrapText="1"/>
    </xf>
    <xf numFmtId="3" fontId="3" fillId="4" borderId="4" xfId="4" quotePrefix="1" applyNumberFormat="1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right"/>
    </xf>
    <xf numFmtId="168" fontId="3" fillId="4" borderId="4" xfId="4" quotePrefix="1" applyNumberFormat="1" applyFont="1" applyFill="1" applyBorder="1" applyAlignment="1">
      <alignment horizontal="center" vertical="center" wrapText="1"/>
    </xf>
    <xf numFmtId="3" fontId="10" fillId="4" borderId="4" xfId="4" quotePrefix="1" applyNumberFormat="1" applyFont="1" applyFill="1" applyBorder="1" applyAlignment="1">
      <alignment horizontal="center" vertical="center" wrapText="1"/>
    </xf>
    <xf numFmtId="0" fontId="12" fillId="4" borderId="0" xfId="0" applyFont="1" applyFill="1"/>
    <xf numFmtId="3" fontId="3" fillId="5" borderId="4" xfId="4" quotePrefix="1" applyNumberFormat="1" applyFont="1" applyFill="1" applyBorder="1" applyAlignment="1">
      <alignment horizontal="center" vertical="center" wrapText="1"/>
    </xf>
    <xf numFmtId="168" fontId="3" fillId="5" borderId="4" xfId="4" quotePrefix="1" applyNumberFormat="1" applyFont="1" applyFill="1" applyBorder="1" applyAlignment="1">
      <alignment horizontal="left" vertical="center" wrapText="1"/>
    </xf>
    <xf numFmtId="168" fontId="3" fillId="5" borderId="4" xfId="4" quotePrefix="1" applyNumberFormat="1" applyFont="1" applyFill="1" applyBorder="1" applyAlignment="1">
      <alignment horizontal="center" vertical="center" wrapText="1"/>
    </xf>
    <xf numFmtId="166" fontId="3" fillId="5" borderId="4" xfId="4" quotePrefix="1" applyNumberFormat="1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right"/>
    </xf>
    <xf numFmtId="0" fontId="2" fillId="4" borderId="4" xfId="5" applyFont="1" applyFill="1" applyBorder="1" applyAlignment="1">
      <alignment horizontal="center" vertical="center"/>
    </xf>
    <xf numFmtId="0" fontId="5" fillId="4" borderId="0" xfId="5" applyFont="1" applyFill="1" applyAlignment="1">
      <alignment horizontal="right" vertical="center"/>
    </xf>
    <xf numFmtId="0" fontId="1" fillId="4" borderId="0" xfId="5" applyFill="1" applyAlignment="1">
      <alignment vertical="center"/>
    </xf>
    <xf numFmtId="0" fontId="6" fillId="4" borderId="0" xfId="5" applyFont="1" applyFill="1" applyAlignment="1">
      <alignment vertical="center"/>
    </xf>
    <xf numFmtId="2" fontId="2" fillId="4" borderId="4" xfId="5" applyNumberFormat="1" applyFont="1" applyFill="1" applyBorder="1" applyAlignment="1">
      <alignment horizontal="center" vertical="center"/>
    </xf>
    <xf numFmtId="165" fontId="8" fillId="4" borderId="0" xfId="2" applyNumberFormat="1" applyFont="1" applyFill="1" applyAlignment="1">
      <alignment horizontal="center"/>
    </xf>
    <xf numFmtId="0" fontId="11" fillId="4" borderId="0" xfId="0" applyFont="1" applyFill="1" applyAlignment="1">
      <alignment horizontal="left"/>
    </xf>
    <xf numFmtId="0" fontId="8" fillId="4" borderId="0" xfId="0" applyFont="1" applyFill="1" applyAlignment="1">
      <alignment horizontal="center"/>
    </xf>
    <xf numFmtId="0" fontId="3" fillId="4" borderId="4" xfId="5" applyFont="1" applyFill="1" applyBorder="1" applyAlignment="1">
      <alignment vertical="top"/>
    </xf>
    <xf numFmtId="172" fontId="8" fillId="4" borderId="0" xfId="3" applyNumberFormat="1" applyFont="1" applyFill="1" applyAlignment="1">
      <alignment horizontal="center"/>
    </xf>
    <xf numFmtId="165" fontId="8" fillId="4" borderId="0" xfId="0" applyNumberFormat="1" applyFont="1" applyFill="1" applyAlignment="1">
      <alignment horizontal="center"/>
    </xf>
    <xf numFmtId="168" fontId="2" fillId="4" borderId="0" xfId="0" applyNumberFormat="1" applyFont="1" applyFill="1"/>
    <xf numFmtId="10" fontId="8" fillId="4" borderId="0" xfId="3" applyNumberFormat="1" applyFont="1" applyFill="1" applyAlignment="1">
      <alignment horizontal="center"/>
    </xf>
    <xf numFmtId="168" fontId="2" fillId="4" borderId="0" xfId="0" applyNumberFormat="1" applyFont="1" applyFill="1" applyAlignment="1">
      <alignment horizontal="justify" vertical="justify"/>
    </xf>
    <xf numFmtId="166" fontId="2" fillId="4" borderId="0" xfId="0" applyNumberFormat="1" applyFont="1" applyFill="1" applyAlignment="1">
      <alignment vertical="center"/>
    </xf>
    <xf numFmtId="168" fontId="2" fillId="4" borderId="0" xfId="0" applyNumberFormat="1" applyFont="1" applyFill="1" applyAlignment="1">
      <alignment horizontal="center"/>
    </xf>
    <xf numFmtId="9" fontId="2" fillId="4" borderId="0" xfId="0" applyNumberFormat="1" applyFont="1" applyFill="1" applyAlignment="1">
      <alignment horizontal="center"/>
    </xf>
    <xf numFmtId="9" fontId="2" fillId="4" borderId="0" xfId="3" applyFont="1" applyFill="1" applyAlignment="1">
      <alignment horizontal="center" vertical="center"/>
    </xf>
    <xf numFmtId="49" fontId="2" fillId="4" borderId="0" xfId="0" applyNumberFormat="1" applyFont="1" applyFill="1" applyAlignment="1">
      <alignment horizontal="left" vertical="center" wrapText="1"/>
    </xf>
    <xf numFmtId="166" fontId="2" fillId="4" borderId="0" xfId="0" applyNumberFormat="1" applyFont="1" applyFill="1" applyAlignment="1">
      <alignment horizontal="left" vertical="center" wrapText="1"/>
    </xf>
    <xf numFmtId="172" fontId="8" fillId="4" borderId="0" xfId="3" applyNumberFormat="1" applyFont="1" applyFill="1" applyAlignment="1">
      <alignment horizontal="center" vertical="center"/>
    </xf>
    <xf numFmtId="9" fontId="2" fillId="4" borderId="0" xfId="3" applyFont="1" applyFill="1" applyAlignment="1">
      <alignment horizontal="center"/>
    </xf>
    <xf numFmtId="165" fontId="8" fillId="4" borderId="0" xfId="2" applyNumberFormat="1" applyFont="1" applyFill="1" applyAlignment="1">
      <alignment horizontal="center" vertical="center"/>
    </xf>
    <xf numFmtId="0" fontId="2" fillId="4" borderId="0" xfId="0" applyFont="1" applyFill="1" applyAlignment="1">
      <alignment wrapText="1"/>
    </xf>
    <xf numFmtId="0" fontId="3" fillId="4" borderId="0" xfId="0" applyFont="1" applyFill="1" applyAlignment="1">
      <alignment vertical="center"/>
    </xf>
    <xf numFmtId="49" fontId="2" fillId="0" borderId="0" xfId="0" applyNumberFormat="1" applyFont="1" applyAlignment="1">
      <alignment horizontal="left" vertical="justify" wrapText="1"/>
    </xf>
    <xf numFmtId="49" fontId="2" fillId="0" borderId="0" xfId="0" applyNumberFormat="1" applyFont="1" applyAlignment="1">
      <alignment horizontal="left" vertical="justify"/>
    </xf>
    <xf numFmtId="3" fontId="9" fillId="3" borderId="5" xfId="4" quotePrefix="1" applyNumberFormat="1" applyFont="1" applyFill="1" applyBorder="1" applyAlignment="1">
      <alignment horizontal="center" vertical="center" wrapText="1"/>
    </xf>
    <xf numFmtId="3" fontId="9" fillId="3" borderId="6" xfId="4" quotePrefix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3" borderId="1" xfId="4" quotePrefix="1" applyNumberFormat="1" applyFont="1" applyFill="1" applyBorder="1" applyAlignment="1">
      <alignment horizontal="center" vertical="center" wrapText="1"/>
    </xf>
    <xf numFmtId="3" fontId="3" fillId="3" borderId="2" xfId="4" quotePrefix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justify" wrapText="1"/>
    </xf>
    <xf numFmtId="0" fontId="2" fillId="0" borderId="0" xfId="0" applyFont="1" applyAlignment="1">
      <alignment horizontal="left" vertical="justify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3" fontId="3" fillId="0" borderId="1" xfId="4" quotePrefix="1" applyNumberFormat="1" applyFont="1" applyFill="1" applyBorder="1" applyAlignment="1">
      <alignment horizontal="center" vertical="center" wrapText="1"/>
    </xf>
    <xf numFmtId="3" fontId="3" fillId="0" borderId="2" xfId="4" quotePrefix="1" applyNumberFormat="1" applyFont="1" applyFill="1" applyBorder="1" applyAlignment="1">
      <alignment horizontal="center" vertical="center" wrapText="1"/>
    </xf>
    <xf numFmtId="3" fontId="3" fillId="0" borderId="3" xfId="4" quotePrefix="1" applyNumberFormat="1" applyFont="1" applyFill="1" applyBorder="1" applyAlignment="1">
      <alignment horizontal="center" vertical="center" wrapText="1"/>
    </xf>
    <xf numFmtId="3" fontId="3" fillId="4" borderId="1" xfId="4" quotePrefix="1" applyNumberFormat="1" applyFont="1" applyFill="1" applyBorder="1" applyAlignment="1">
      <alignment horizontal="center" vertical="center" wrapText="1"/>
    </xf>
    <xf numFmtId="3" fontId="3" fillId="4" borderId="2" xfId="4" quotePrefix="1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left" vertical="justify" wrapText="1"/>
    </xf>
    <xf numFmtId="0" fontId="2" fillId="4" borderId="0" xfId="0" applyFont="1" applyFill="1" applyAlignment="1">
      <alignment horizontal="left" vertical="justify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3" fontId="3" fillId="4" borderId="3" xfId="4" quotePrefix="1" applyNumberFormat="1" applyFont="1" applyFill="1" applyBorder="1" applyAlignment="1">
      <alignment horizontal="center" vertical="center" wrapText="1"/>
    </xf>
    <xf numFmtId="49" fontId="2" fillId="4" borderId="0" xfId="0" applyNumberFormat="1" applyFont="1" applyFill="1" applyAlignment="1">
      <alignment horizontal="left" vertical="justify" wrapText="1"/>
    </xf>
    <xf numFmtId="49" fontId="2" fillId="4" borderId="0" xfId="0" applyNumberFormat="1" applyFont="1" applyFill="1" applyAlignment="1">
      <alignment horizontal="left" vertical="justify"/>
    </xf>
    <xf numFmtId="3" fontId="9" fillId="4" borderId="5" xfId="4" quotePrefix="1" applyNumberFormat="1" applyFont="1" applyFill="1" applyBorder="1" applyAlignment="1">
      <alignment horizontal="center" vertical="center" wrapText="1"/>
    </xf>
    <xf numFmtId="3" fontId="9" fillId="4" borderId="6" xfId="4" quotePrefix="1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4" borderId="0" xfId="0" applyFill="1"/>
    <xf numFmtId="166" fontId="3" fillId="4" borderId="4" xfId="4" quotePrefix="1" applyNumberFormat="1" applyFont="1" applyFill="1" applyBorder="1" applyAlignment="1">
      <alignment horizontal="center" vertical="center" wrapText="1"/>
    </xf>
    <xf numFmtId="0" fontId="14" fillId="4" borderId="4" xfId="1" applyNumberFormat="1" applyFont="1" applyFill="1" applyBorder="1" applyAlignment="1">
      <alignment horizontal="center" vertical="center" wrapText="1" readingOrder="1"/>
    </xf>
    <xf numFmtId="168" fontId="3" fillId="4" borderId="4" xfId="4" quotePrefix="1" applyNumberFormat="1" applyFont="1" applyFill="1" applyBorder="1" applyAlignment="1">
      <alignment horizontal="left" vertical="center" wrapText="1"/>
    </xf>
    <xf numFmtId="0" fontId="14" fillId="4" borderId="4" xfId="0" applyFont="1" applyFill="1" applyBorder="1" applyAlignment="1">
      <alignment horizontal="justify" vertical="center" wrapText="1" readingOrder="1"/>
    </xf>
    <xf numFmtId="166" fontId="4" fillId="4" borderId="4" xfId="0" applyNumberFormat="1" applyFont="1" applyFill="1" applyBorder="1" applyAlignment="1">
      <alignment horizontal="center" vertical="center" wrapText="1" readingOrder="1"/>
    </xf>
    <xf numFmtId="169" fontId="2" fillId="4" borderId="4" xfId="0" applyNumberFormat="1" applyFont="1" applyFill="1" applyBorder="1" applyAlignment="1">
      <alignment horizontal="center" vertical="center" wrapText="1" readingOrder="1"/>
    </xf>
    <xf numFmtId="169" fontId="4" fillId="4" borderId="4" xfId="0" applyNumberFormat="1" applyFont="1" applyFill="1" applyBorder="1" applyAlignment="1">
      <alignment horizontal="center" vertical="center" wrapText="1" readingOrder="1"/>
    </xf>
    <xf numFmtId="0" fontId="2" fillId="4" borderId="4" xfId="0" applyFont="1" applyFill="1" applyBorder="1" applyAlignment="1">
      <alignment horizontal="center" vertical="center"/>
    </xf>
    <xf numFmtId="0" fontId="4" fillId="4" borderId="4" xfId="6" applyFont="1" applyFill="1" applyBorder="1" applyAlignment="1">
      <alignment horizontal="justify" vertical="center" wrapText="1"/>
    </xf>
    <xf numFmtId="0" fontId="4" fillId="4" borderId="4" xfId="6" applyFont="1" applyFill="1" applyBorder="1" applyAlignment="1">
      <alignment horizontal="center" vertical="center" wrapText="1"/>
    </xf>
    <xf numFmtId="166" fontId="4" fillId="4" borderId="4" xfId="1" applyNumberFormat="1" applyFont="1" applyFill="1" applyBorder="1" applyAlignment="1">
      <alignment horizontal="center" vertical="center" wrapText="1"/>
    </xf>
    <xf numFmtId="166" fontId="14" fillId="4" borderId="4" xfId="0" applyNumberFormat="1" applyFont="1" applyFill="1" applyBorder="1" applyAlignment="1">
      <alignment horizontal="justify" vertical="center" wrapText="1" readingOrder="1"/>
    </xf>
    <xf numFmtId="0" fontId="2" fillId="4" borderId="4" xfId="8" applyFont="1" applyFill="1" applyBorder="1" applyAlignment="1">
      <alignment horizontal="justify" vertical="top" wrapText="1"/>
    </xf>
    <xf numFmtId="0" fontId="8" fillId="4" borderId="4" xfId="0" applyFont="1" applyFill="1" applyBorder="1" applyAlignment="1">
      <alignment vertical="center"/>
    </xf>
    <xf numFmtId="0" fontId="3" fillId="4" borderId="4" xfId="5" applyFont="1" applyFill="1" applyBorder="1" applyAlignment="1">
      <alignment horizontal="center" vertical="top"/>
    </xf>
    <xf numFmtId="166" fontId="3" fillId="4" borderId="4" xfId="5" applyNumberFormat="1" applyFont="1" applyFill="1" applyBorder="1" applyAlignment="1">
      <alignment horizontal="center" vertical="top"/>
    </xf>
    <xf numFmtId="168" fontId="3" fillId="4" borderId="4" xfId="5" applyNumberFormat="1" applyFont="1" applyFill="1" applyBorder="1" applyAlignment="1">
      <alignment vertical="center"/>
    </xf>
    <xf numFmtId="172" fontId="2" fillId="4" borderId="4" xfId="3" applyNumberFormat="1" applyFont="1" applyFill="1" applyBorder="1" applyAlignment="1">
      <alignment horizontal="center"/>
    </xf>
    <xf numFmtId="9" fontId="2" fillId="4" borderId="4" xfId="3" applyFont="1" applyFill="1" applyBorder="1" applyAlignment="1">
      <alignment horizontal="center"/>
    </xf>
    <xf numFmtId="168" fontId="3" fillId="4" borderId="4" xfId="5" applyNumberFormat="1" applyFont="1" applyFill="1" applyBorder="1" applyAlignment="1">
      <alignment horizontal="center" vertical="top"/>
    </xf>
    <xf numFmtId="0" fontId="3" fillId="4" borderId="4" xfId="5" applyFont="1" applyFill="1" applyBorder="1" applyAlignment="1">
      <alignment vertical="center"/>
    </xf>
    <xf numFmtId="166" fontId="3" fillId="4" borderId="4" xfId="5" applyNumberFormat="1" applyFont="1" applyFill="1" applyBorder="1" applyAlignment="1">
      <alignment vertical="top"/>
    </xf>
    <xf numFmtId="2" fontId="0" fillId="4" borderId="0" xfId="0" applyNumberFormat="1" applyFill="1"/>
  </cellXfs>
  <cellStyles count="9">
    <cellStyle name="Millares" xfId="1" builtinId="3"/>
    <cellStyle name="Moneda" xfId="2" builtinId="4"/>
    <cellStyle name="Moneda 2" xfId="4" xr:uid="{4D656639-3DBF-4C77-833D-240D84FACBF5}"/>
    <cellStyle name="Normal" xfId="0" builtinId="0"/>
    <cellStyle name="Normal 12" xfId="6" xr:uid="{75EB6619-709C-4A03-B144-B2A16423D364}"/>
    <cellStyle name="Normal 2 10" xfId="7" xr:uid="{319C1CF5-0A95-4E9D-824F-1FA2F426786E}"/>
    <cellStyle name="Normal 2 3" xfId="5" xr:uid="{FC4D05D9-8FC1-4BDF-9513-00BCEAC27C9E}"/>
    <cellStyle name="Normal_Hoja1" xfId="8" xr:uid="{2BAC4E0D-AB41-467B-8023-980A4EBC9163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1250</xdr:colOff>
      <xdr:row>0</xdr:row>
      <xdr:rowOff>8282</xdr:rowOff>
    </xdr:from>
    <xdr:to>
      <xdr:col>2</xdr:col>
      <xdr:colOff>1198055</xdr:colOff>
      <xdr:row>2</xdr:row>
      <xdr:rowOff>88947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510C0C5-E600-4726-AB53-1FA76E0BA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300" y="8282"/>
          <a:ext cx="1796880" cy="452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1250</xdr:colOff>
      <xdr:row>0</xdr:row>
      <xdr:rowOff>8282</xdr:rowOff>
    </xdr:from>
    <xdr:to>
      <xdr:col>2</xdr:col>
      <xdr:colOff>1198055</xdr:colOff>
      <xdr:row>2</xdr:row>
      <xdr:rowOff>88947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EFAF75-18D9-4210-8137-679B04638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900" y="8282"/>
          <a:ext cx="1796880" cy="452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1250</xdr:colOff>
      <xdr:row>0</xdr:row>
      <xdr:rowOff>8282</xdr:rowOff>
    </xdr:from>
    <xdr:to>
      <xdr:col>1</xdr:col>
      <xdr:colOff>1198055</xdr:colOff>
      <xdr:row>2</xdr:row>
      <xdr:rowOff>117522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B8EB4FC-4167-430D-BC1E-2571E3912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300" y="8282"/>
          <a:ext cx="1796880" cy="452140"/>
        </a:xfrm>
        <a:prstGeom prst="rect">
          <a:avLst/>
        </a:prstGeom>
      </xdr:spPr>
    </xdr:pic>
    <xdr:clientData/>
  </xdr:twoCellAnchor>
  <xdr:twoCellAnchor editAs="oneCell">
    <xdr:from>
      <xdr:col>0</xdr:col>
      <xdr:colOff>1250</xdr:colOff>
      <xdr:row>0</xdr:row>
      <xdr:rowOff>8282</xdr:rowOff>
    </xdr:from>
    <xdr:to>
      <xdr:col>1</xdr:col>
      <xdr:colOff>1198055</xdr:colOff>
      <xdr:row>2</xdr:row>
      <xdr:rowOff>117522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333941-DCDE-463C-A780-84E4130D1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300" y="8282"/>
          <a:ext cx="1796880" cy="4521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0</xdr:rowOff>
    </xdr:from>
    <xdr:to>
      <xdr:col>7</xdr:col>
      <xdr:colOff>19050</xdr:colOff>
      <xdr:row>5</xdr:row>
      <xdr:rowOff>120650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8457FB2-6DAD-40CC-B880-9EF2431E6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0"/>
          <a:ext cx="7391400" cy="914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7</xdr:col>
      <xdr:colOff>69850</xdr:colOff>
      <xdr:row>4</xdr:row>
      <xdr:rowOff>127000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4B4D64-0D1E-4FCC-AA49-0C8FDECC1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0"/>
          <a:ext cx="7258050" cy="762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erconectar.sharepoint.com/sites/InterconectarInfo/COMERCIAL/Cotizaciones/07.%20ESU_E.P%20Palmas/CT-007-23_Adecuacion%20E.P%20Palmas%20_ESU_Cal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VA"/>
      <sheetName val="AU"/>
      <sheetName val="Completo"/>
      <sheetName val="Completo2"/>
      <sheetName val="Directos"/>
      <sheetName val="Eduan"/>
      <sheetName val="Responsables"/>
      <sheetName val="PARETO"/>
      <sheetName val="Materiales"/>
      <sheetName val="Medidas"/>
      <sheetName val="Costos(opcional)"/>
      <sheetName val="Salarios y S.S"/>
      <sheetName val="Plantilla APU"/>
      <sheetName val="Plantilla APU (2)"/>
    </sheetNames>
    <sheetDataSet>
      <sheetData sheetId="0"/>
      <sheetData sheetId="1"/>
      <sheetData sheetId="2"/>
      <sheetData sheetId="3"/>
      <sheetData sheetId="4">
        <row r="29">
          <cell r="B29"/>
        </row>
        <row r="30">
          <cell r="B30"/>
        </row>
        <row r="31">
          <cell r="B31"/>
        </row>
        <row r="34">
          <cell r="B34"/>
        </row>
        <row r="35">
          <cell r="B35"/>
        </row>
        <row r="53">
          <cell r="B53">
            <v>15</v>
          </cell>
        </row>
        <row r="54">
          <cell r="B54"/>
        </row>
        <row r="75">
          <cell r="B75"/>
        </row>
        <row r="76">
          <cell r="B76"/>
        </row>
        <row r="77">
          <cell r="B77"/>
        </row>
        <row r="78">
          <cell r="B78"/>
        </row>
        <row r="79">
          <cell r="B79"/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FCA76-BF85-4158-B5DE-A46C363C2F54}">
  <dimension ref="B1:AY112"/>
  <sheetViews>
    <sheetView showGridLines="0" view="pageBreakPreview" topLeftCell="A81" zoomScaleNormal="115" zoomScaleSheetLayoutView="100" zoomScalePageLayoutView="70" workbookViewId="0">
      <selection activeCell="B98" sqref="B98:G98"/>
    </sheetView>
  </sheetViews>
  <sheetFormatPr baseColWidth="10" defaultColWidth="11.453125" defaultRowHeight="14" x14ac:dyDescent="0.3"/>
  <cols>
    <col min="1" max="1" width="3.7265625" style="4" customWidth="1"/>
    <col min="2" max="2" width="9" style="68" customWidth="1"/>
    <col min="3" max="3" width="52.1796875" style="10" customWidth="1"/>
    <col min="4" max="4" width="7.7265625" style="10" customWidth="1"/>
    <col min="5" max="5" width="10.1796875" style="11" customWidth="1"/>
    <col min="6" max="6" width="15.81640625" style="10" customWidth="1"/>
    <col min="7" max="7" width="15.81640625" style="77" customWidth="1"/>
    <col min="8" max="8" width="12" style="81" bestFit="1" customWidth="1"/>
    <col min="9" max="9" width="11.1796875" style="1" bestFit="1" customWidth="1"/>
    <col min="10" max="10" width="13" style="2" bestFit="1" customWidth="1"/>
    <col min="11" max="11" width="11.1796875" style="2" customWidth="1"/>
    <col min="12" max="12" width="12" style="2" customWidth="1"/>
    <col min="13" max="13" width="1.54296875" style="2" customWidth="1"/>
    <col min="14" max="22" width="12.7265625" style="2" customWidth="1"/>
    <col min="23" max="23" width="1.81640625" style="2" customWidth="1"/>
    <col min="24" max="24" width="13.453125" style="2" bestFit="1" customWidth="1"/>
    <col min="25" max="29" width="12.7265625" style="2" customWidth="1"/>
    <col min="30" max="30" width="2.1796875" style="2" customWidth="1"/>
    <col min="31" max="49" width="12.7265625" style="2" customWidth="1"/>
    <col min="50" max="50" width="11.453125" style="2"/>
    <col min="51" max="16384" width="11.453125" style="4"/>
  </cols>
  <sheetData>
    <row r="1" spans="2:7" ht="15" customHeight="1" x14ac:dyDescent="0.3"/>
    <row r="3" spans="2:7" ht="21.75" customHeight="1" x14ac:dyDescent="0.3">
      <c r="B3" s="151" t="s">
        <v>0</v>
      </c>
      <c r="C3" s="151"/>
      <c r="D3" s="151"/>
      <c r="E3" s="151"/>
      <c r="F3" s="151"/>
      <c r="G3" s="151"/>
    </row>
    <row r="4" spans="2:7" x14ac:dyDescent="0.3">
      <c r="B4" s="5"/>
      <c r="C4" s="6"/>
      <c r="D4" s="6"/>
      <c r="E4" s="7"/>
      <c r="F4" s="6"/>
      <c r="G4" s="6"/>
    </row>
    <row r="5" spans="2:7" x14ac:dyDescent="0.3">
      <c r="B5" s="8" t="s">
        <v>187</v>
      </c>
      <c r="C5" s="9"/>
      <c r="G5" s="12"/>
    </row>
    <row r="6" spans="2:7" x14ac:dyDescent="0.3">
      <c r="B6" s="13"/>
      <c r="G6" s="14"/>
    </row>
    <row r="7" spans="2:7" x14ac:dyDescent="0.3">
      <c r="B7" s="8" t="s">
        <v>188</v>
      </c>
      <c r="C7" s="15"/>
      <c r="G7" s="10"/>
    </row>
    <row r="8" spans="2:7" x14ac:dyDescent="0.3">
      <c r="B8" s="5" t="s">
        <v>189</v>
      </c>
      <c r="C8" s="6"/>
      <c r="G8" s="10"/>
    </row>
    <row r="9" spans="2:7" x14ac:dyDescent="0.3">
      <c r="B9" s="8" t="s">
        <v>1</v>
      </c>
      <c r="C9" s="6"/>
      <c r="G9" s="10"/>
    </row>
    <row r="10" spans="2:7" x14ac:dyDescent="0.3">
      <c r="B10" s="8" t="s">
        <v>2</v>
      </c>
      <c r="C10" s="6"/>
      <c r="G10" s="10"/>
    </row>
    <row r="11" spans="2:7" x14ac:dyDescent="0.3">
      <c r="B11" s="8" t="s">
        <v>190</v>
      </c>
      <c r="C11" s="15"/>
      <c r="G11" s="10"/>
    </row>
    <row r="12" spans="2:7" x14ac:dyDescent="0.3">
      <c r="B12" s="8" t="s">
        <v>3</v>
      </c>
      <c r="C12" s="15"/>
      <c r="G12" s="10"/>
    </row>
    <row r="13" spans="2:7" x14ac:dyDescent="0.3">
      <c r="B13" s="8"/>
      <c r="G13" s="10"/>
    </row>
    <row r="14" spans="2:7" ht="14.25" customHeight="1" x14ac:dyDescent="0.3">
      <c r="B14" s="5" t="s">
        <v>4</v>
      </c>
      <c r="C14" s="152" t="s">
        <v>191</v>
      </c>
      <c r="D14" s="152"/>
      <c r="E14" s="152"/>
      <c r="F14" s="152"/>
      <c r="G14" s="152"/>
    </row>
    <row r="15" spans="2:7" x14ac:dyDescent="0.3">
      <c r="B15" s="13"/>
      <c r="C15" s="152"/>
      <c r="D15" s="152"/>
      <c r="E15" s="152"/>
      <c r="F15" s="152"/>
      <c r="G15" s="152"/>
    </row>
    <row r="16" spans="2:7" x14ac:dyDescent="0.3">
      <c r="B16" s="13"/>
      <c r="G16" s="10"/>
    </row>
    <row r="17" spans="2:50" x14ac:dyDescent="0.3">
      <c r="B17" s="8" t="s">
        <v>5</v>
      </c>
      <c r="G17" s="10"/>
      <c r="AE17" s="16"/>
      <c r="AF17" s="16"/>
      <c r="AG17" s="16"/>
    </row>
    <row r="18" spans="2:50" ht="11.25" customHeight="1" x14ac:dyDescent="0.3">
      <c r="B18" s="8"/>
      <c r="G18" s="10"/>
    </row>
    <row r="19" spans="2:50" ht="20.25" customHeight="1" x14ac:dyDescent="0.3">
      <c r="B19" s="153" t="s">
        <v>6</v>
      </c>
      <c r="C19" s="154"/>
      <c r="D19" s="154"/>
      <c r="E19" s="154"/>
      <c r="F19" s="154"/>
      <c r="G19" s="154"/>
      <c r="L19" s="15"/>
      <c r="M19" s="15"/>
    </row>
    <row r="20" spans="2:50" x14ac:dyDescent="0.3">
      <c r="B20" s="17"/>
      <c r="C20" s="18"/>
      <c r="D20" s="18"/>
      <c r="E20" s="19"/>
      <c r="F20" s="18"/>
      <c r="G20" s="18"/>
      <c r="J20" s="20"/>
      <c r="K20" s="15"/>
      <c r="L20" s="15"/>
      <c r="M20" s="15"/>
      <c r="AF20" s="2">
        <f>2.45*2</f>
        <v>4.9000000000000004</v>
      </c>
      <c r="AI20" s="2" t="s">
        <v>7</v>
      </c>
    </row>
    <row r="21" spans="2:50" x14ac:dyDescent="0.3">
      <c r="B21" s="5" t="s">
        <v>8</v>
      </c>
      <c r="C21" s="18"/>
      <c r="D21" s="18"/>
      <c r="E21" s="19"/>
      <c r="F21" s="18"/>
      <c r="G21" s="21"/>
      <c r="I21" s="12" t="s">
        <v>7</v>
      </c>
      <c r="J21" s="2">
        <v>2.5</v>
      </c>
      <c r="AI21" s="2">
        <v>2.7</v>
      </c>
    </row>
    <row r="22" spans="2:50" ht="15" customHeight="1" x14ac:dyDescent="0.3">
      <c r="B22" s="5"/>
      <c r="C22" s="18"/>
      <c r="D22" s="18"/>
      <c r="E22" s="19"/>
      <c r="F22" s="18"/>
      <c r="G22" s="21"/>
      <c r="J22" s="155" t="s">
        <v>9</v>
      </c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7"/>
      <c r="AI22" s="158" t="s">
        <v>10</v>
      </c>
      <c r="AJ22" s="159"/>
      <c r="AK22" s="159"/>
      <c r="AL22" s="159"/>
      <c r="AM22" s="159"/>
      <c r="AN22" s="159"/>
      <c r="AO22" s="159"/>
      <c r="AP22" s="159"/>
      <c r="AQ22" s="159"/>
      <c r="AR22" s="159"/>
      <c r="AS22" s="159"/>
      <c r="AT22" s="160"/>
      <c r="AV22" s="149" t="s">
        <v>11</v>
      </c>
      <c r="AW22" s="150"/>
      <c r="AX22" s="23" t="s">
        <v>12</v>
      </c>
    </row>
    <row r="23" spans="2:50" s="29" customFormat="1" ht="12.75" customHeight="1" x14ac:dyDescent="0.3">
      <c r="H23" s="81"/>
      <c r="I23" s="27" t="s">
        <v>19</v>
      </c>
      <c r="J23" s="25" t="s">
        <v>20</v>
      </c>
      <c r="K23" s="24" t="s">
        <v>21</v>
      </c>
      <c r="L23" s="24" t="s">
        <v>22</v>
      </c>
      <c r="M23" s="24"/>
      <c r="N23" s="24" t="s">
        <v>23</v>
      </c>
      <c r="O23" s="24" t="s">
        <v>24</v>
      </c>
      <c r="P23" s="24" t="s">
        <v>25</v>
      </c>
      <c r="Q23" s="24" t="s">
        <v>26</v>
      </c>
      <c r="R23" s="24" t="s">
        <v>27</v>
      </c>
      <c r="S23" s="24" t="s">
        <v>28</v>
      </c>
      <c r="T23" s="24" t="s">
        <v>29</v>
      </c>
      <c r="U23" s="22" t="s">
        <v>30</v>
      </c>
      <c r="V23" s="24" t="s">
        <v>31</v>
      </c>
      <c r="W23" s="24"/>
      <c r="X23" s="24" t="s">
        <v>32</v>
      </c>
      <c r="Y23" s="24" t="s">
        <v>33</v>
      </c>
      <c r="Z23" s="24" t="s">
        <v>34</v>
      </c>
      <c r="AA23" s="24" t="s">
        <v>35</v>
      </c>
      <c r="AB23" s="22" t="s">
        <v>36</v>
      </c>
      <c r="AC23" s="24" t="s">
        <v>37</v>
      </c>
      <c r="AD23" s="24"/>
      <c r="AE23" s="24" t="s">
        <v>38</v>
      </c>
      <c r="AF23" s="22" t="s">
        <v>39</v>
      </c>
      <c r="AG23" s="24" t="s">
        <v>40</v>
      </c>
      <c r="AH23" s="22" t="s">
        <v>41</v>
      </c>
      <c r="AI23" s="28" t="s">
        <v>42</v>
      </c>
      <c r="AJ23" s="28" t="s">
        <v>43</v>
      </c>
      <c r="AK23" s="28" t="s">
        <v>44</v>
      </c>
      <c r="AL23" s="28" t="s">
        <v>45</v>
      </c>
      <c r="AM23" s="28" t="s">
        <v>46</v>
      </c>
      <c r="AN23" s="28" t="s">
        <v>47</v>
      </c>
      <c r="AO23" s="24" t="s">
        <v>48</v>
      </c>
      <c r="AP23" s="146" t="s">
        <v>49</v>
      </c>
      <c r="AQ23" s="24" t="s">
        <v>50</v>
      </c>
      <c r="AR23" s="24" t="s">
        <v>51</v>
      </c>
      <c r="AS23" s="24" t="s">
        <v>52</v>
      </c>
      <c r="AT23" s="24" t="s">
        <v>53</v>
      </c>
      <c r="AU23" s="24" t="s">
        <v>185</v>
      </c>
      <c r="AV23" s="24"/>
      <c r="AW23" s="24"/>
      <c r="AX23" s="24"/>
    </row>
    <row r="24" spans="2:50" s="29" customFormat="1" ht="16.5" customHeight="1" x14ac:dyDescent="0.3">
      <c r="B24" s="25" t="s">
        <v>13</v>
      </c>
      <c r="C24" s="25" t="s">
        <v>14</v>
      </c>
      <c r="D24" s="25" t="s">
        <v>15</v>
      </c>
      <c r="E24" s="26" t="s">
        <v>16</v>
      </c>
      <c r="F24" s="25" t="s">
        <v>17</v>
      </c>
      <c r="G24" s="25" t="s">
        <v>18</v>
      </c>
      <c r="H24" s="81"/>
      <c r="I24" s="30" t="s">
        <v>55</v>
      </c>
      <c r="J24" s="31">
        <f>6*4*$J$21</f>
        <v>60</v>
      </c>
      <c r="K24" s="31">
        <f>6.1*4*$J$21</f>
        <v>61</v>
      </c>
      <c r="L24" s="31"/>
      <c r="M24" s="31"/>
      <c r="N24" s="31">
        <f>(4.16*2+3.6*2)*$J$21</f>
        <v>38.799999999999997</v>
      </c>
      <c r="O24" s="31">
        <f>(4.16*2+3.1*2)*$J$21</f>
        <v>36.299999999999997</v>
      </c>
      <c r="P24" s="31">
        <f>(4.16*2+8*2)*$J$21</f>
        <v>60.8</v>
      </c>
      <c r="Q24" s="31">
        <f>(4.25*2+4.33*2)*$J$21</f>
        <v>42.9</v>
      </c>
      <c r="R24" s="31">
        <f>(4.05*2+4.33*2)*$J$21</f>
        <v>41.899999999999991</v>
      </c>
      <c r="S24" s="31">
        <f>(3.4*2+3.5*2)*$J$21</f>
        <v>34.5</v>
      </c>
      <c r="T24" s="31">
        <f>((1.3+3.5+2.42+0.3)*1+(2.42*2))*J21</f>
        <v>30.9</v>
      </c>
      <c r="U24" s="31">
        <f>(1.3*4+3.5*2)*$J$21</f>
        <v>30.5</v>
      </c>
      <c r="V24" s="31">
        <f>(4.23*2+3.22*2)*$J$21</f>
        <v>37.250000000000007</v>
      </c>
      <c r="W24" s="31"/>
      <c r="X24" s="31">
        <f>(3.81*2+4.27*2)*$J$21</f>
        <v>40.4</v>
      </c>
      <c r="Y24" s="31">
        <f>(1.91*2+1.96*2)*$J$21</f>
        <v>19.350000000000001</v>
      </c>
      <c r="Z24" s="31">
        <f>(1.96*2+4.07*2)*$J$21</f>
        <v>30.150000000000002</v>
      </c>
      <c r="AA24" s="31">
        <f>(1.88*2+1.9*2)*$J$21</f>
        <v>18.899999999999999</v>
      </c>
      <c r="AB24" s="31">
        <f>(3.81*2+1.53*2)*$J$21</f>
        <v>26.7</v>
      </c>
      <c r="AC24" s="31">
        <f>(5.8*2+8.6*2)*$J$21</f>
        <v>72</v>
      </c>
      <c r="AD24" s="31"/>
      <c r="AE24" s="31">
        <f>(5.25*2+5.55*2)*$J$21</f>
        <v>54</v>
      </c>
      <c r="AF24" s="31">
        <f>(4.9*2+5.55*2)*$J$21</f>
        <v>52.25</v>
      </c>
      <c r="AG24" s="31">
        <f>(7.55*2+6.95*2)*$J$21</f>
        <v>72.5</v>
      </c>
      <c r="AH24" s="31"/>
      <c r="AI24" s="31">
        <f>(7.2*2+7.15*2)*$AI$21</f>
        <v>77.490000000000009</v>
      </c>
      <c r="AJ24" s="31">
        <f>(7.2*2+6.15*2)*$AI$21</f>
        <v>72.090000000000018</v>
      </c>
      <c r="AK24" s="31">
        <f>(9*2+3.95*2)*$AI$21</f>
        <v>69.930000000000007</v>
      </c>
      <c r="AL24" s="31">
        <f>(7.5*2+3.85*2)*$AI$21</f>
        <v>61.29</v>
      </c>
      <c r="AM24" s="31">
        <f>(7.5*2+4.05*2)*$AI$21</f>
        <v>62.370000000000005</v>
      </c>
      <c r="AN24" s="31">
        <f>(4.2+4.25+1.5+7.2+3)*2*$AI$21</f>
        <v>108.81</v>
      </c>
      <c r="AO24" s="31">
        <f>(7.45*2+3.7*2)*$AI$21</f>
        <v>60.210000000000008</v>
      </c>
      <c r="AP24" s="147"/>
      <c r="AQ24" s="31">
        <f>(7.45*2+3.5*2)*$AI$21</f>
        <v>59.13</v>
      </c>
      <c r="AR24" s="31">
        <f>(7.45*2+3.65*2)*$AI$21</f>
        <v>59.940000000000005</v>
      </c>
      <c r="AS24" s="31">
        <f>(5.4*2+6.95*2)*$AI$21</f>
        <v>66.690000000000012</v>
      </c>
      <c r="AT24" s="31">
        <f>(11.15*2+1.85*2)*$AI$21</f>
        <v>70.2</v>
      </c>
      <c r="AU24" s="31"/>
      <c r="AV24" s="31"/>
      <c r="AW24" s="31"/>
      <c r="AX24" s="31"/>
    </row>
    <row r="25" spans="2:50" s="32" customFormat="1" x14ac:dyDescent="0.3">
      <c r="B25" s="33">
        <v>1</v>
      </c>
      <c r="C25" s="34" t="s">
        <v>56</v>
      </c>
      <c r="D25" s="35"/>
      <c r="E25" s="36"/>
      <c r="F25" s="37"/>
      <c r="G25" s="38"/>
      <c r="H25" s="81">
        <f>+SUM(G26:G32)</f>
        <v>2677464</v>
      </c>
      <c r="I25" s="39" t="s">
        <v>57</v>
      </c>
      <c r="J25" s="40">
        <f>6*6</f>
        <v>36</v>
      </c>
      <c r="K25" s="40">
        <f>6.15*6</f>
        <v>36.900000000000006</v>
      </c>
      <c r="L25" s="40"/>
      <c r="M25" s="40"/>
      <c r="N25" s="40">
        <f>4.16*3.6</f>
        <v>14.976000000000001</v>
      </c>
      <c r="O25" s="40">
        <f>4.16*3.1</f>
        <v>12.896000000000001</v>
      </c>
      <c r="P25" s="40">
        <f>4.16*8</f>
        <v>33.28</v>
      </c>
      <c r="Q25" s="40">
        <f>4.25*4.33</f>
        <v>18.4025</v>
      </c>
      <c r="R25" s="40">
        <f>4.05*4.33</f>
        <v>17.5365</v>
      </c>
      <c r="S25" s="40">
        <f>3.4*3.5</f>
        <v>11.9</v>
      </c>
      <c r="T25" s="40">
        <f>((1.3+3.5+2.42+0.3)*1+(2.42*2))</f>
        <v>12.36</v>
      </c>
      <c r="U25" s="40">
        <f>1.3*3.5</f>
        <v>4.55</v>
      </c>
      <c r="V25" s="40">
        <f>4.23*3.22</f>
        <v>13.620600000000001</v>
      </c>
      <c r="W25" s="40"/>
      <c r="X25" s="40">
        <f>3.81*4.27</f>
        <v>16.268699999999999</v>
      </c>
      <c r="Y25" s="40">
        <f>1.91*1.96</f>
        <v>3.7435999999999998</v>
      </c>
      <c r="Z25" s="40">
        <f>1.96*4.07</f>
        <v>7.9772000000000007</v>
      </c>
      <c r="AA25" s="31">
        <f>1.88*1.9</f>
        <v>3.5719999999999996</v>
      </c>
      <c r="AB25" s="31">
        <f>3.81*1.53</f>
        <v>5.8292999999999999</v>
      </c>
      <c r="AC25" s="31">
        <f>5.8*8.6</f>
        <v>49.879999999999995</v>
      </c>
      <c r="AD25" s="40"/>
      <c r="AE25" s="40">
        <f>5.25*5.55</f>
        <v>29.137499999999999</v>
      </c>
      <c r="AF25" s="31">
        <f>4.9*5.55</f>
        <v>27.195</v>
      </c>
      <c r="AG25" s="40">
        <f>7.55*6.95</f>
        <v>52.472499999999997</v>
      </c>
      <c r="AH25" s="40"/>
      <c r="AI25" s="31">
        <f>7.2*7.15</f>
        <v>51.480000000000004</v>
      </c>
      <c r="AJ25" s="31">
        <f>7.2*6.15</f>
        <v>44.28</v>
      </c>
      <c r="AK25" s="31">
        <f>9*3.95</f>
        <v>35.550000000000004</v>
      </c>
      <c r="AL25" s="31">
        <f>7.5*3.85</f>
        <v>28.875</v>
      </c>
      <c r="AM25" s="31">
        <f>7.5*4.05</f>
        <v>30.375</v>
      </c>
      <c r="AN25" s="31">
        <f>(4.2+4.25+1.5)*3+(4.05+3.85+2)*1.5</f>
        <v>44.7</v>
      </c>
      <c r="AO25" s="31">
        <f>7.45*3.7</f>
        <v>27.565000000000001</v>
      </c>
      <c r="AP25" s="31"/>
      <c r="AQ25" s="31">
        <f>7.45*3.5</f>
        <v>26.074999999999999</v>
      </c>
      <c r="AR25" s="31">
        <f>7.45*3.65</f>
        <v>27.192499999999999</v>
      </c>
      <c r="AS25" s="31">
        <f>5.4*6.95</f>
        <v>37.53</v>
      </c>
      <c r="AT25" s="31">
        <f>11.15*1.85</f>
        <v>20.627500000000001</v>
      </c>
      <c r="AU25" s="31"/>
      <c r="AV25" s="40"/>
      <c r="AW25" s="40"/>
      <c r="AX25" s="40"/>
    </row>
    <row r="26" spans="2:50" s="32" customFormat="1" ht="45.75" customHeight="1" x14ac:dyDescent="0.25">
      <c r="B26" s="41" t="s">
        <v>54</v>
      </c>
      <c r="C26" s="42" t="s">
        <v>58</v>
      </c>
      <c r="D26" s="43" t="s">
        <v>59</v>
      </c>
      <c r="E26" s="44">
        <f t="shared" ref="E26:E32" si="0">+SUM(J26:AX26)</f>
        <v>2</v>
      </c>
      <c r="F26" s="45">
        <v>90042</v>
      </c>
      <c r="G26" s="46">
        <f>+E26*F26</f>
        <v>180084</v>
      </c>
      <c r="H26" s="81"/>
      <c r="I26" s="47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>
        <v>2</v>
      </c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>
        <v>0</v>
      </c>
      <c r="AV26" s="31"/>
      <c r="AW26" s="31"/>
      <c r="AX26" s="31"/>
    </row>
    <row r="27" spans="2:50" s="32" customFormat="1" ht="43.5" customHeight="1" x14ac:dyDescent="0.25">
      <c r="B27" s="41" t="s">
        <v>60</v>
      </c>
      <c r="C27" s="42" t="s">
        <v>61</v>
      </c>
      <c r="D27" s="43" t="s">
        <v>59</v>
      </c>
      <c r="E27" s="44">
        <f t="shared" si="0"/>
        <v>3</v>
      </c>
      <c r="F27" s="45">
        <v>81600</v>
      </c>
      <c r="G27" s="46">
        <f t="shared" ref="G27:G62" si="1">+E27*F27</f>
        <v>244800</v>
      </c>
      <c r="H27" s="81"/>
      <c r="I27" s="47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>
        <v>3</v>
      </c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>
        <v>0</v>
      </c>
      <c r="AV27" s="31"/>
      <c r="AW27" s="31"/>
      <c r="AX27" s="31"/>
    </row>
    <row r="28" spans="2:50" s="32" customFormat="1" ht="42.75" customHeight="1" x14ac:dyDescent="0.25">
      <c r="B28" s="41" t="s">
        <v>62</v>
      </c>
      <c r="C28" s="42" t="s">
        <v>63</v>
      </c>
      <c r="D28" s="43" t="s">
        <v>59</v>
      </c>
      <c r="E28" s="44">
        <f t="shared" si="0"/>
        <v>1</v>
      </c>
      <c r="F28" s="45">
        <v>138300</v>
      </c>
      <c r="G28" s="46">
        <f t="shared" si="1"/>
        <v>138300</v>
      </c>
      <c r="H28" s="81"/>
      <c r="I28" s="47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>
        <v>1</v>
      </c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>
        <v>0</v>
      </c>
      <c r="AV28" s="31"/>
      <c r="AW28" s="31"/>
      <c r="AX28" s="31"/>
    </row>
    <row r="29" spans="2:50" s="32" customFormat="1" ht="27" customHeight="1" x14ac:dyDescent="0.25">
      <c r="B29" s="41" t="s">
        <v>64</v>
      </c>
      <c r="C29" s="42" t="s">
        <v>65</v>
      </c>
      <c r="D29" s="43" t="s">
        <v>59</v>
      </c>
      <c r="E29" s="44">
        <f t="shared" si="0"/>
        <v>2</v>
      </c>
      <c r="F29" s="45">
        <v>252000</v>
      </c>
      <c r="G29" s="46">
        <f t="shared" si="1"/>
        <v>504000</v>
      </c>
      <c r="H29" s="81"/>
      <c r="I29" s="47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>
        <v>2</v>
      </c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>
        <v>0</v>
      </c>
      <c r="AV29" s="31"/>
      <c r="AW29" s="31"/>
      <c r="AX29" s="31"/>
    </row>
    <row r="30" spans="2:50" s="32" customFormat="1" ht="27" customHeight="1" x14ac:dyDescent="0.25">
      <c r="B30" s="41" t="s">
        <v>66</v>
      </c>
      <c r="C30" s="42" t="s">
        <v>67</v>
      </c>
      <c r="D30" s="43" t="s">
        <v>59</v>
      </c>
      <c r="E30" s="44">
        <f t="shared" si="0"/>
        <v>3</v>
      </c>
      <c r="F30" s="45">
        <v>226800</v>
      </c>
      <c r="G30" s="46">
        <f t="shared" si="1"/>
        <v>680400</v>
      </c>
      <c r="H30" s="81"/>
      <c r="I30" s="47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>
        <v>3</v>
      </c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>
        <v>0</v>
      </c>
      <c r="AV30" s="31"/>
      <c r="AW30" s="31"/>
      <c r="AX30" s="31"/>
    </row>
    <row r="31" spans="2:50" s="32" customFormat="1" ht="27" customHeight="1" x14ac:dyDescent="0.25">
      <c r="B31" s="41" t="s">
        <v>68</v>
      </c>
      <c r="C31" s="42" t="s">
        <v>69</v>
      </c>
      <c r="D31" s="43" t="s">
        <v>59</v>
      </c>
      <c r="E31" s="44">
        <f t="shared" si="0"/>
        <v>1</v>
      </c>
      <c r="F31" s="45">
        <v>453600</v>
      </c>
      <c r="G31" s="46">
        <f t="shared" si="1"/>
        <v>453600</v>
      </c>
      <c r="H31" s="81"/>
      <c r="I31" s="47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>
        <v>1</v>
      </c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>
        <v>0</v>
      </c>
      <c r="AV31" s="31"/>
      <c r="AW31" s="31"/>
      <c r="AX31" s="31"/>
    </row>
    <row r="32" spans="2:50" s="32" customFormat="1" ht="27" customHeight="1" x14ac:dyDescent="0.25">
      <c r="B32" s="41" t="s">
        <v>70</v>
      </c>
      <c r="C32" s="42" t="s">
        <v>71</v>
      </c>
      <c r="D32" s="43" t="s">
        <v>59</v>
      </c>
      <c r="E32" s="44">
        <f t="shared" si="0"/>
        <v>7</v>
      </c>
      <c r="F32" s="45">
        <v>68040</v>
      </c>
      <c r="G32" s="46">
        <f t="shared" si="1"/>
        <v>476280</v>
      </c>
      <c r="H32" s="81"/>
      <c r="I32" s="47"/>
      <c r="J32" s="31">
        <v>7</v>
      </c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</row>
    <row r="33" spans="2:50" s="32" customFormat="1" ht="14.25" customHeight="1" x14ac:dyDescent="0.25">
      <c r="B33" s="33">
        <v>2</v>
      </c>
      <c r="C33" s="34" t="s">
        <v>72</v>
      </c>
      <c r="D33" s="35"/>
      <c r="E33" s="48"/>
      <c r="F33" s="48"/>
      <c r="G33" s="48"/>
      <c r="H33" s="81">
        <f>+SUM(G34:G36)</f>
        <v>1521046.8</v>
      </c>
      <c r="I33" s="47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>
        <v>0</v>
      </c>
      <c r="AV33" s="31"/>
      <c r="AW33" s="31"/>
      <c r="AX33" s="31"/>
    </row>
    <row r="34" spans="2:50" s="32" customFormat="1" ht="23.25" customHeight="1" x14ac:dyDescent="0.25">
      <c r="B34" s="41" t="s">
        <v>73</v>
      </c>
      <c r="C34" s="42" t="s">
        <v>74</v>
      </c>
      <c r="D34" s="43" t="s">
        <v>59</v>
      </c>
      <c r="E34" s="44">
        <f>+SUM(J34:AX34)</f>
        <v>1</v>
      </c>
      <c r="F34" s="45">
        <v>269035.2</v>
      </c>
      <c r="G34" s="46">
        <f t="shared" si="1"/>
        <v>269035.2</v>
      </c>
      <c r="H34" s="81"/>
      <c r="I34" s="47"/>
      <c r="J34" s="31">
        <v>1</v>
      </c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>
        <v>0</v>
      </c>
      <c r="AV34" s="31"/>
      <c r="AW34" s="31"/>
      <c r="AX34" s="31"/>
    </row>
    <row r="35" spans="2:50" s="32" customFormat="1" ht="29.25" customHeight="1" x14ac:dyDescent="0.25">
      <c r="B35" s="41" t="s">
        <v>75</v>
      </c>
      <c r="C35" s="42" t="s">
        <v>76</v>
      </c>
      <c r="D35" s="43" t="s">
        <v>59</v>
      </c>
      <c r="E35" s="44">
        <f>+SUM(J35:AX35)</f>
        <v>1</v>
      </c>
      <c r="F35" s="45">
        <v>470811.6</v>
      </c>
      <c r="G35" s="46">
        <f t="shared" si="1"/>
        <v>470811.6</v>
      </c>
      <c r="H35" s="81"/>
      <c r="I35" s="47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>
        <v>1</v>
      </c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>
        <v>0</v>
      </c>
      <c r="AV35" s="31"/>
      <c r="AW35" s="31"/>
      <c r="AX35" s="31"/>
    </row>
    <row r="36" spans="2:50" s="32" customFormat="1" ht="26" x14ac:dyDescent="0.25">
      <c r="B36" s="41" t="s">
        <v>77</v>
      </c>
      <c r="C36" s="42" t="s">
        <v>78</v>
      </c>
      <c r="D36" s="43" t="s">
        <v>59</v>
      </c>
      <c r="E36" s="44">
        <f>+SUM(J36:AX36)</f>
        <v>1</v>
      </c>
      <c r="F36" s="45">
        <v>781200</v>
      </c>
      <c r="G36" s="46">
        <f t="shared" si="1"/>
        <v>781200</v>
      </c>
      <c r="H36" s="81"/>
      <c r="I36" s="47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>
        <v>1</v>
      </c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>
        <v>0</v>
      </c>
      <c r="AV36" s="31"/>
      <c r="AW36" s="31"/>
      <c r="AX36" s="31"/>
    </row>
    <row r="37" spans="2:50" s="32" customFormat="1" ht="14.25" customHeight="1" x14ac:dyDescent="0.25">
      <c r="B37" s="33">
        <v>3</v>
      </c>
      <c r="C37" s="34" t="s">
        <v>79</v>
      </c>
      <c r="D37" s="35"/>
      <c r="E37" s="48"/>
      <c r="F37" s="48"/>
      <c r="G37" s="48"/>
      <c r="H37" s="81">
        <f>+SUM(G38:G43)</f>
        <v>7289025.4285714291</v>
      </c>
      <c r="I37" s="47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>
        <v>0</v>
      </c>
      <c r="AV37" s="31"/>
      <c r="AW37" s="31"/>
      <c r="AX37" s="31"/>
    </row>
    <row r="38" spans="2:50" s="32" customFormat="1" ht="65" x14ac:dyDescent="0.25">
      <c r="B38" s="41" t="s">
        <v>80</v>
      </c>
      <c r="C38" s="49" t="s">
        <v>81</v>
      </c>
      <c r="D38" s="43" t="s">
        <v>59</v>
      </c>
      <c r="E38" s="44">
        <f t="shared" ref="E38:E43" si="2">+SUM(J38:AX38)</f>
        <v>15</v>
      </c>
      <c r="F38" s="45">
        <v>45600</v>
      </c>
      <c r="G38" s="46">
        <f t="shared" si="1"/>
        <v>684000</v>
      </c>
      <c r="H38" s="81"/>
      <c r="I38" s="47"/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4</v>
      </c>
      <c r="AH38" s="31">
        <v>0</v>
      </c>
      <c r="AI38" s="31">
        <v>0</v>
      </c>
      <c r="AJ38" s="31">
        <v>7</v>
      </c>
      <c r="AK38" s="31">
        <v>0</v>
      </c>
      <c r="AL38" s="31">
        <v>0</v>
      </c>
      <c r="AM38" s="31">
        <v>4</v>
      </c>
      <c r="AN38" s="31">
        <v>0</v>
      </c>
      <c r="AO38" s="31">
        <v>0</v>
      </c>
      <c r="AP38" s="31">
        <v>0</v>
      </c>
      <c r="AQ38" s="31">
        <v>0</v>
      </c>
      <c r="AR38" s="31">
        <v>0</v>
      </c>
      <c r="AS38" s="31">
        <v>0</v>
      </c>
      <c r="AT38" s="31">
        <v>0</v>
      </c>
      <c r="AU38" s="31">
        <v>0</v>
      </c>
      <c r="AV38" s="31"/>
      <c r="AW38" s="31"/>
      <c r="AX38" s="31"/>
    </row>
    <row r="39" spans="2:50" s="32" customFormat="1" ht="26" x14ac:dyDescent="0.25">
      <c r="B39" s="41" t="s">
        <v>82</v>
      </c>
      <c r="C39" s="49" t="s">
        <v>83</v>
      </c>
      <c r="D39" s="43" t="s">
        <v>84</v>
      </c>
      <c r="E39" s="44">
        <f t="shared" si="2"/>
        <v>7.74</v>
      </c>
      <c r="F39" s="45">
        <v>81600</v>
      </c>
      <c r="G39" s="46">
        <f t="shared" si="1"/>
        <v>631584</v>
      </c>
      <c r="H39" s="81"/>
      <c r="I39" s="47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50">
        <f>2.15*3.6</f>
        <v>7.74</v>
      </c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>
        <v>0</v>
      </c>
      <c r="AV39" s="31"/>
      <c r="AW39" s="31"/>
      <c r="AX39" s="31"/>
    </row>
    <row r="40" spans="2:50" s="32" customFormat="1" ht="26" x14ac:dyDescent="0.25">
      <c r="B40" s="41" t="s">
        <v>85</v>
      </c>
      <c r="C40" s="49" t="s">
        <v>86</v>
      </c>
      <c r="D40" s="43" t="s">
        <v>84</v>
      </c>
      <c r="E40" s="44">
        <f t="shared" si="2"/>
        <v>27</v>
      </c>
      <c r="F40" s="45">
        <v>109200</v>
      </c>
      <c r="G40" s="46">
        <f t="shared" si="1"/>
        <v>2948400</v>
      </c>
      <c r="H40" s="81"/>
      <c r="I40" s="47"/>
      <c r="J40" s="31"/>
      <c r="K40" s="31"/>
      <c r="L40" s="31">
        <f>4*3</f>
        <v>12</v>
      </c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>
        <v>15</v>
      </c>
      <c r="AV40" s="31"/>
      <c r="AW40" s="31"/>
      <c r="AX40" s="31"/>
    </row>
    <row r="41" spans="2:50" s="32" customFormat="1" ht="31.5" customHeight="1" x14ac:dyDescent="0.25">
      <c r="B41" s="41" t="s">
        <v>87</v>
      </c>
      <c r="C41" s="49" t="s">
        <v>88</v>
      </c>
      <c r="D41" s="43" t="s">
        <v>84</v>
      </c>
      <c r="E41" s="44">
        <f t="shared" si="2"/>
        <v>49.875</v>
      </c>
      <c r="F41" s="45">
        <v>21600</v>
      </c>
      <c r="G41" s="46">
        <f t="shared" si="1"/>
        <v>1077300</v>
      </c>
      <c r="H41" s="81"/>
      <c r="I41" s="47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>
        <v>15</v>
      </c>
      <c r="AH41" s="31"/>
      <c r="AI41" s="31"/>
      <c r="AJ41" s="31">
        <f>(2.8+2.8+3.5)*2.5</f>
        <v>22.75</v>
      </c>
      <c r="AK41" s="31"/>
      <c r="AL41" s="31"/>
      <c r="AM41" s="31">
        <f>(2.85+2)*2.5</f>
        <v>12.125</v>
      </c>
      <c r="AN41" s="31"/>
      <c r="AO41" s="31"/>
      <c r="AP41" s="31"/>
      <c r="AQ41" s="31"/>
      <c r="AR41" s="31"/>
      <c r="AS41" s="31"/>
      <c r="AT41" s="31"/>
      <c r="AU41" s="31">
        <v>0</v>
      </c>
      <c r="AV41" s="31"/>
      <c r="AW41" s="31"/>
      <c r="AX41" s="31"/>
    </row>
    <row r="42" spans="2:50" s="32" customFormat="1" ht="24.75" customHeight="1" x14ac:dyDescent="0.25">
      <c r="B42" s="41" t="s">
        <v>89</v>
      </c>
      <c r="C42" s="42" t="s">
        <v>90</v>
      </c>
      <c r="D42" s="43" t="s">
        <v>84</v>
      </c>
      <c r="E42" s="44">
        <f t="shared" si="2"/>
        <v>23.732142857142858</v>
      </c>
      <c r="F42" s="45">
        <v>42480</v>
      </c>
      <c r="G42" s="46">
        <f t="shared" si="1"/>
        <v>1008141.4285714286</v>
      </c>
      <c r="H42" s="81"/>
      <c r="I42" s="47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>
        <f>(3.5)*2.5</f>
        <v>8.75</v>
      </c>
      <c r="AK42" s="31"/>
      <c r="AL42" s="31"/>
      <c r="AM42" s="31">
        <f>(2.85+2)*2.5</f>
        <v>12.125</v>
      </c>
      <c r="AN42" s="31"/>
      <c r="AO42" s="31"/>
      <c r="AP42" s="31"/>
      <c r="AQ42" s="31"/>
      <c r="AR42" s="31"/>
      <c r="AS42" s="31"/>
      <c r="AT42" s="31"/>
      <c r="AU42" s="40">
        <v>2.8571428571428572</v>
      </c>
      <c r="AV42" s="31"/>
      <c r="AW42" s="31"/>
      <c r="AX42" s="31"/>
    </row>
    <row r="43" spans="2:50" s="32" customFormat="1" ht="33.75" customHeight="1" x14ac:dyDescent="0.25">
      <c r="B43" s="41" t="s">
        <v>91</v>
      </c>
      <c r="C43" s="42" t="s">
        <v>92</v>
      </c>
      <c r="D43" s="43" t="s">
        <v>84</v>
      </c>
      <c r="E43" s="44">
        <f t="shared" si="2"/>
        <v>30</v>
      </c>
      <c r="F43" s="45">
        <v>31320</v>
      </c>
      <c r="G43" s="46">
        <f t="shared" si="1"/>
        <v>939600</v>
      </c>
      <c r="H43" s="81"/>
      <c r="I43" s="47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>
        <f>(3*4)*2.5</f>
        <v>30</v>
      </c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40">
        <v>0</v>
      </c>
      <c r="AV43" s="31"/>
      <c r="AW43" s="31"/>
      <c r="AX43" s="31"/>
    </row>
    <row r="44" spans="2:50" s="32" customFormat="1" ht="14.25" customHeight="1" x14ac:dyDescent="0.25">
      <c r="B44" s="33">
        <v>4</v>
      </c>
      <c r="C44" s="34" t="s">
        <v>93</v>
      </c>
      <c r="D44" s="35"/>
      <c r="E44" s="35"/>
      <c r="F44" s="35"/>
      <c r="G44" s="35"/>
      <c r="H44" s="81">
        <f>+SUM(G45:G47)</f>
        <v>2270400</v>
      </c>
      <c r="I44" s="47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40">
        <v>0</v>
      </c>
      <c r="AV44" s="31"/>
      <c r="AW44" s="31"/>
      <c r="AX44" s="31"/>
    </row>
    <row r="45" spans="2:50" s="32" customFormat="1" ht="30" customHeight="1" x14ac:dyDescent="0.25">
      <c r="B45" s="41" t="s">
        <v>94</v>
      </c>
      <c r="C45" s="42" t="s">
        <v>95</v>
      </c>
      <c r="D45" s="43" t="s">
        <v>59</v>
      </c>
      <c r="E45" s="44">
        <f>+SUM(J45:AX45)</f>
        <v>2</v>
      </c>
      <c r="F45" s="45">
        <v>151200</v>
      </c>
      <c r="G45" s="46">
        <f t="shared" si="1"/>
        <v>302400</v>
      </c>
      <c r="H45" s="81"/>
      <c r="I45" s="47"/>
      <c r="J45" s="31"/>
      <c r="K45" s="31"/>
      <c r="L45" s="31">
        <v>2</v>
      </c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40">
        <v>0</v>
      </c>
      <c r="AV45" s="31"/>
      <c r="AW45" s="31"/>
      <c r="AX45" s="31"/>
    </row>
    <row r="46" spans="2:50" s="32" customFormat="1" ht="37.5" customHeight="1" x14ac:dyDescent="0.25">
      <c r="B46" s="41" t="s">
        <v>96</v>
      </c>
      <c r="C46" s="42" t="s">
        <v>97</v>
      </c>
      <c r="D46" s="43" t="s">
        <v>59</v>
      </c>
      <c r="E46" s="44">
        <f>+SUM(J46:AX46)</f>
        <v>1</v>
      </c>
      <c r="F46" s="45">
        <v>478800</v>
      </c>
      <c r="G46" s="46">
        <f t="shared" si="1"/>
        <v>478800</v>
      </c>
      <c r="H46" s="81"/>
      <c r="I46" s="47"/>
      <c r="J46" s="31"/>
      <c r="K46" s="31"/>
      <c r="L46" s="31">
        <v>1</v>
      </c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40">
        <v>0</v>
      </c>
      <c r="AV46" s="31"/>
      <c r="AW46" s="31"/>
      <c r="AX46" s="31"/>
    </row>
    <row r="47" spans="2:50" s="32" customFormat="1" ht="34.5" customHeight="1" x14ac:dyDescent="0.25">
      <c r="B47" s="41" t="s">
        <v>98</v>
      </c>
      <c r="C47" s="42" t="s">
        <v>99</v>
      </c>
      <c r="D47" s="43" t="s">
        <v>59</v>
      </c>
      <c r="E47" s="44">
        <f>+SUM(J47:AX47)</f>
        <v>2</v>
      </c>
      <c r="F47" s="45">
        <v>744600</v>
      </c>
      <c r="G47" s="46">
        <f t="shared" si="1"/>
        <v>1489200</v>
      </c>
      <c r="H47" s="81"/>
      <c r="I47" s="47"/>
      <c r="J47" s="31"/>
      <c r="K47" s="31"/>
      <c r="L47" s="31">
        <v>2</v>
      </c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40">
        <v>0</v>
      </c>
      <c r="AV47" s="31"/>
      <c r="AW47" s="31"/>
      <c r="AX47" s="31"/>
    </row>
    <row r="48" spans="2:50" s="32" customFormat="1" ht="14.25" customHeight="1" x14ac:dyDescent="0.25">
      <c r="B48" s="33">
        <v>5</v>
      </c>
      <c r="C48" s="34" t="s">
        <v>100</v>
      </c>
      <c r="D48" s="35"/>
      <c r="E48" s="35"/>
      <c r="F48" s="35"/>
      <c r="G48" s="35"/>
      <c r="H48" s="81">
        <f>+SUM(G49:G50)</f>
        <v>2316195</v>
      </c>
      <c r="I48" s="47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40">
        <v>0</v>
      </c>
      <c r="AV48" s="31"/>
      <c r="AW48" s="31"/>
      <c r="AX48" s="31"/>
    </row>
    <row r="49" spans="2:50" s="32" customFormat="1" ht="30" customHeight="1" x14ac:dyDescent="0.25">
      <c r="B49" s="41" t="s">
        <v>101</v>
      </c>
      <c r="C49" s="42" t="s">
        <v>102</v>
      </c>
      <c r="D49" s="43" t="s">
        <v>84</v>
      </c>
      <c r="E49" s="44">
        <f>+SUM(J49:AX49)</f>
        <v>15</v>
      </c>
      <c r="F49" s="45">
        <v>69741</v>
      </c>
      <c r="G49" s="46">
        <f t="shared" si="1"/>
        <v>1046115</v>
      </c>
      <c r="H49" s="81"/>
      <c r="I49" s="47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40">
        <v>15</v>
      </c>
      <c r="AV49" s="31"/>
      <c r="AW49" s="31"/>
      <c r="AX49" s="31"/>
    </row>
    <row r="50" spans="2:50" s="32" customFormat="1" ht="30" customHeight="1" x14ac:dyDescent="0.25">
      <c r="B50" s="41" t="s">
        <v>103</v>
      </c>
      <c r="C50" s="42" t="s">
        <v>104</v>
      </c>
      <c r="D50" s="43" t="s">
        <v>84</v>
      </c>
      <c r="E50" s="44">
        <f>+SUM(J50:AX50)</f>
        <v>18</v>
      </c>
      <c r="F50" s="45">
        <v>70560</v>
      </c>
      <c r="G50" s="46">
        <f t="shared" si="1"/>
        <v>1270080</v>
      </c>
      <c r="H50" s="81"/>
      <c r="I50" s="47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>
        <f>1.8*4*2.5</f>
        <v>18</v>
      </c>
      <c r="AR50" s="31"/>
      <c r="AS50" s="31"/>
      <c r="AT50" s="31"/>
      <c r="AU50" s="40">
        <v>0</v>
      </c>
      <c r="AV50" s="31"/>
      <c r="AW50" s="31"/>
      <c r="AX50" s="31"/>
    </row>
    <row r="51" spans="2:50" s="32" customFormat="1" x14ac:dyDescent="0.25">
      <c r="B51" s="33">
        <v>6</v>
      </c>
      <c r="C51" s="34" t="s">
        <v>105</v>
      </c>
      <c r="D51" s="35"/>
      <c r="E51" s="35"/>
      <c r="F51" s="35"/>
      <c r="G51" s="35"/>
      <c r="H51" s="81">
        <f>+SUM(G52:G55)</f>
        <v>2436651</v>
      </c>
      <c r="I51" s="47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40">
        <v>0</v>
      </c>
      <c r="AV51" s="31"/>
      <c r="AW51" s="31"/>
      <c r="AX51" s="31"/>
    </row>
    <row r="52" spans="2:50" s="32" customFormat="1" ht="44.25" customHeight="1" x14ac:dyDescent="0.25">
      <c r="B52" s="41" t="s">
        <v>106</v>
      </c>
      <c r="C52" s="42" t="s">
        <v>107</v>
      </c>
      <c r="D52" s="43" t="s">
        <v>84</v>
      </c>
      <c r="E52" s="44">
        <f>+SUM(J52:AX52)</f>
        <v>22.625</v>
      </c>
      <c r="F52" s="45">
        <v>58968</v>
      </c>
      <c r="G52" s="46">
        <f>+E52*F52</f>
        <v>1334151</v>
      </c>
      <c r="H52" s="81"/>
      <c r="I52" s="47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>
        <f>(2.8+2.25)*2.5</f>
        <v>12.625</v>
      </c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40">
        <v>10</v>
      </c>
      <c r="AV52" s="31"/>
      <c r="AW52" s="31"/>
      <c r="AX52" s="31"/>
    </row>
    <row r="53" spans="2:50" s="32" customFormat="1" ht="26" x14ac:dyDescent="0.25">
      <c r="B53" s="41" t="s">
        <v>108</v>
      </c>
      <c r="C53" s="42" t="s">
        <v>109</v>
      </c>
      <c r="D53" s="43" t="s">
        <v>110</v>
      </c>
      <c r="E53" s="44">
        <f>+SUM(J53:AX53)</f>
        <v>4</v>
      </c>
      <c r="F53" s="45">
        <v>163800</v>
      </c>
      <c r="G53" s="46">
        <f t="shared" si="1"/>
        <v>655200</v>
      </c>
      <c r="H53" s="81"/>
      <c r="I53" s="47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40">
        <v>4</v>
      </c>
      <c r="AV53" s="31"/>
      <c r="AW53" s="31"/>
      <c r="AX53" s="31"/>
    </row>
    <row r="54" spans="2:50" s="32" customFormat="1" x14ac:dyDescent="0.25">
      <c r="B54" s="41" t="s">
        <v>111</v>
      </c>
      <c r="C54" s="42" t="s">
        <v>112</v>
      </c>
      <c r="D54" s="43" t="s">
        <v>110</v>
      </c>
      <c r="E54" s="44">
        <f>+SUM(J54:AX54)</f>
        <v>1.2</v>
      </c>
      <c r="F54" s="45">
        <v>262500</v>
      </c>
      <c r="G54" s="46">
        <f t="shared" si="1"/>
        <v>315000</v>
      </c>
      <c r="H54" s="81"/>
      <c r="I54" s="47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40">
        <v>1.2</v>
      </c>
      <c r="AV54" s="31"/>
      <c r="AW54" s="31"/>
      <c r="AX54" s="31"/>
    </row>
    <row r="55" spans="2:50" s="32" customFormat="1" ht="17.25" customHeight="1" x14ac:dyDescent="0.25">
      <c r="B55" s="41" t="s">
        <v>113</v>
      </c>
      <c r="C55" s="42" t="s">
        <v>114</v>
      </c>
      <c r="D55" s="43" t="s">
        <v>84</v>
      </c>
      <c r="E55" s="44">
        <v>1</v>
      </c>
      <c r="F55" s="45">
        <v>132300</v>
      </c>
      <c r="G55" s="46">
        <f t="shared" si="1"/>
        <v>132300</v>
      </c>
      <c r="H55" s="81"/>
      <c r="I55" s="47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40"/>
      <c r="AV55" s="31"/>
      <c r="AW55" s="31"/>
      <c r="AX55" s="31"/>
    </row>
    <row r="56" spans="2:50" s="32" customFormat="1" x14ac:dyDescent="0.25">
      <c r="B56" s="33">
        <v>7</v>
      </c>
      <c r="C56" s="34" t="s">
        <v>115</v>
      </c>
      <c r="D56" s="34"/>
      <c r="E56" s="34"/>
      <c r="F56" s="34"/>
      <c r="G56" s="34"/>
      <c r="H56" s="81">
        <f>+SUM(G57:G62)</f>
        <v>2700180</v>
      </c>
      <c r="I56" s="47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40">
        <v>0</v>
      </c>
      <c r="AV56" s="31"/>
      <c r="AW56" s="31"/>
      <c r="AX56" s="31"/>
    </row>
    <row r="57" spans="2:50" s="32" customFormat="1" ht="26" x14ac:dyDescent="0.25">
      <c r="B57" s="41" t="s">
        <v>116</v>
      </c>
      <c r="C57" s="42" t="s">
        <v>117</v>
      </c>
      <c r="D57" s="43" t="s">
        <v>110</v>
      </c>
      <c r="E57" s="44">
        <f t="shared" ref="E57:E62" si="3">+SUM(J57:AX57)</f>
        <v>15.3</v>
      </c>
      <c r="F57" s="45">
        <v>12600</v>
      </c>
      <c r="G57" s="46">
        <f>+E57*F57</f>
        <v>192780</v>
      </c>
      <c r="H57" s="81"/>
      <c r="I57" s="47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>
        <f>2.5+3.5+2.5+2+2.8+2</f>
        <v>15.3</v>
      </c>
      <c r="AQ57" s="31"/>
      <c r="AR57" s="31"/>
      <c r="AS57" s="31"/>
      <c r="AT57" s="31"/>
      <c r="AU57" s="40">
        <v>0</v>
      </c>
      <c r="AV57" s="31"/>
      <c r="AW57" s="31"/>
      <c r="AX57" s="31"/>
    </row>
    <row r="58" spans="2:50" s="32" customFormat="1" ht="26" x14ac:dyDescent="0.25">
      <c r="B58" s="41" t="s">
        <v>118</v>
      </c>
      <c r="C58" s="42" t="s">
        <v>119</v>
      </c>
      <c r="D58" s="43" t="s">
        <v>59</v>
      </c>
      <c r="E58" s="44">
        <f t="shared" si="3"/>
        <v>1</v>
      </c>
      <c r="F58" s="45">
        <v>252000</v>
      </c>
      <c r="G58" s="46">
        <f>+E58*F58</f>
        <v>252000</v>
      </c>
      <c r="H58" s="81"/>
      <c r="I58" s="47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>
        <v>1</v>
      </c>
      <c r="AQ58" s="31"/>
      <c r="AR58" s="31"/>
      <c r="AS58" s="31"/>
      <c r="AT58" s="31"/>
      <c r="AU58" s="40">
        <v>0</v>
      </c>
      <c r="AV58" s="31"/>
      <c r="AW58" s="31"/>
      <c r="AX58" s="31"/>
    </row>
    <row r="59" spans="2:50" s="32" customFormat="1" ht="26" x14ac:dyDescent="0.25">
      <c r="B59" s="41" t="s">
        <v>120</v>
      </c>
      <c r="C59" s="42" t="s">
        <v>121</v>
      </c>
      <c r="D59" s="43" t="s">
        <v>59</v>
      </c>
      <c r="E59" s="44">
        <f t="shared" si="3"/>
        <v>1</v>
      </c>
      <c r="F59" s="45">
        <v>176400</v>
      </c>
      <c r="G59" s="46">
        <f>+E59*F59</f>
        <v>176400</v>
      </c>
      <c r="H59" s="81"/>
      <c r="I59" s="47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>
        <v>1</v>
      </c>
      <c r="AQ59" s="31"/>
      <c r="AR59" s="31"/>
      <c r="AS59" s="31"/>
      <c r="AT59" s="31"/>
      <c r="AU59" s="40">
        <v>0</v>
      </c>
      <c r="AV59" s="31"/>
      <c r="AW59" s="31"/>
      <c r="AX59" s="31"/>
    </row>
    <row r="60" spans="2:50" s="32" customFormat="1" ht="26" x14ac:dyDescent="0.25">
      <c r="B60" s="41" t="s">
        <v>122</v>
      </c>
      <c r="C60" s="42" t="s">
        <v>123</v>
      </c>
      <c r="D60" s="43" t="s">
        <v>59</v>
      </c>
      <c r="E60" s="44">
        <f t="shared" si="3"/>
        <v>1</v>
      </c>
      <c r="F60" s="45">
        <v>226800</v>
      </c>
      <c r="G60" s="46">
        <f>+E60*F60</f>
        <v>226800</v>
      </c>
      <c r="H60" s="81"/>
      <c r="I60" s="47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>
        <v>1</v>
      </c>
      <c r="AQ60" s="31"/>
      <c r="AR60" s="31"/>
      <c r="AS60" s="31"/>
      <c r="AT60" s="31"/>
      <c r="AU60" s="40">
        <v>0</v>
      </c>
      <c r="AV60" s="31"/>
      <c r="AW60" s="31"/>
      <c r="AX60" s="31"/>
    </row>
    <row r="61" spans="2:50" s="32" customFormat="1" ht="39" x14ac:dyDescent="0.25">
      <c r="B61" s="41" t="s">
        <v>124</v>
      </c>
      <c r="C61" s="42" t="s">
        <v>125</v>
      </c>
      <c r="D61" s="43" t="s">
        <v>59</v>
      </c>
      <c r="E61" s="44">
        <f t="shared" si="3"/>
        <v>12</v>
      </c>
      <c r="F61" s="45">
        <v>91350</v>
      </c>
      <c r="G61" s="46">
        <f t="shared" si="1"/>
        <v>1096200</v>
      </c>
      <c r="H61" s="81"/>
      <c r="I61" s="47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>
        <f>10+2</f>
        <v>12</v>
      </c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40">
        <v>0</v>
      </c>
      <c r="AV61" s="31"/>
      <c r="AW61" s="31"/>
      <c r="AX61" s="31"/>
    </row>
    <row r="62" spans="2:50" s="32" customFormat="1" ht="52" x14ac:dyDescent="0.25">
      <c r="B62" s="41" t="s">
        <v>126</v>
      </c>
      <c r="C62" s="42" t="s">
        <v>127</v>
      </c>
      <c r="D62" s="43" t="s">
        <v>128</v>
      </c>
      <c r="E62" s="44">
        <f t="shared" si="3"/>
        <v>1</v>
      </c>
      <c r="F62" s="45">
        <v>756000</v>
      </c>
      <c r="G62" s="46">
        <f t="shared" si="1"/>
        <v>756000</v>
      </c>
      <c r="H62" s="81"/>
      <c r="I62" s="47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>
        <f>1/4</f>
        <v>0.25</v>
      </c>
      <c r="V62" s="31"/>
      <c r="W62" s="31"/>
      <c r="X62" s="31"/>
      <c r="Y62" s="31"/>
      <c r="Z62" s="31"/>
      <c r="AA62" s="31"/>
      <c r="AB62" s="31">
        <f>1/4</f>
        <v>0.25</v>
      </c>
      <c r="AC62" s="31"/>
      <c r="AD62" s="31"/>
      <c r="AE62" s="31"/>
      <c r="AF62" s="31">
        <f>1/4</f>
        <v>0.25</v>
      </c>
      <c r="AG62" s="31"/>
      <c r="AH62" s="31">
        <f>1/4</f>
        <v>0.25</v>
      </c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40">
        <v>0</v>
      </c>
      <c r="AV62" s="31"/>
      <c r="AW62" s="31"/>
      <c r="AX62" s="31"/>
    </row>
    <row r="63" spans="2:50" s="32" customFormat="1" x14ac:dyDescent="0.25">
      <c r="B63" s="33">
        <v>8</v>
      </c>
      <c r="C63" s="34" t="s">
        <v>129</v>
      </c>
      <c r="D63" s="34"/>
      <c r="E63" s="34"/>
      <c r="F63" s="34"/>
      <c r="G63" s="34"/>
      <c r="H63" s="81">
        <f>+SUM(G64:G71)</f>
        <v>9421287.120000001</v>
      </c>
      <c r="I63" s="47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40">
        <v>0</v>
      </c>
      <c r="AV63" s="31"/>
      <c r="AW63" s="31"/>
      <c r="AX63" s="31"/>
    </row>
    <row r="64" spans="2:50" s="32" customFormat="1" ht="39" x14ac:dyDescent="0.25">
      <c r="B64" s="41" t="s">
        <v>130</v>
      </c>
      <c r="C64" s="42" t="s">
        <v>131</v>
      </c>
      <c r="D64" s="43" t="s">
        <v>128</v>
      </c>
      <c r="E64" s="44">
        <f>+SUM(J64:AX64)</f>
        <v>1</v>
      </c>
      <c r="F64" s="45">
        <v>1092420</v>
      </c>
      <c r="G64" s="46">
        <f t="shared" ref="G64:G82" si="4">+E64*F64</f>
        <v>1092420</v>
      </c>
      <c r="H64" s="81"/>
      <c r="I64" s="47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40">
        <v>0</v>
      </c>
      <c r="AV64" s="31"/>
      <c r="AW64" s="31"/>
      <c r="AX64" s="31">
        <v>1</v>
      </c>
    </row>
    <row r="65" spans="2:50" s="32" customFormat="1" ht="26" x14ac:dyDescent="0.25">
      <c r="B65" s="41" t="s">
        <v>132</v>
      </c>
      <c r="C65" s="42" t="s">
        <v>133</v>
      </c>
      <c r="D65" s="43" t="s">
        <v>59</v>
      </c>
      <c r="E65" s="44">
        <f>+SUM(J65:AX65)</f>
        <v>2</v>
      </c>
      <c r="F65" s="45">
        <v>214200</v>
      </c>
      <c r="G65" s="46">
        <f t="shared" si="4"/>
        <v>428400</v>
      </c>
      <c r="H65" s="81"/>
      <c r="I65" s="47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40">
        <v>0</v>
      </c>
      <c r="AV65" s="31"/>
      <c r="AW65" s="31"/>
      <c r="AX65" s="31">
        <v>2</v>
      </c>
    </row>
    <row r="66" spans="2:50" s="32" customFormat="1" ht="52" x14ac:dyDescent="0.25">
      <c r="B66" s="41" t="s">
        <v>134</v>
      </c>
      <c r="C66" s="42" t="s">
        <v>135</v>
      </c>
      <c r="D66" s="43" t="s">
        <v>59</v>
      </c>
      <c r="E66" s="44">
        <f>+SUM(J66:AX66)</f>
        <v>1</v>
      </c>
      <c r="F66" s="45">
        <v>1134000</v>
      </c>
      <c r="G66" s="46">
        <f t="shared" si="4"/>
        <v>1134000</v>
      </c>
      <c r="H66" s="81"/>
      <c r="I66" s="47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40">
        <v>0</v>
      </c>
      <c r="AV66" s="31"/>
      <c r="AW66" s="31"/>
      <c r="AX66" s="31">
        <v>1</v>
      </c>
    </row>
    <row r="67" spans="2:50" s="32" customFormat="1" ht="26" x14ac:dyDescent="0.25">
      <c r="B67" s="41" t="s">
        <v>136</v>
      </c>
      <c r="C67" s="42" t="s">
        <v>137</v>
      </c>
      <c r="D67" s="43" t="s">
        <v>59</v>
      </c>
      <c r="E67" s="44">
        <f>+SUM(J67:AX67)</f>
        <v>16</v>
      </c>
      <c r="F67" s="45">
        <v>226800</v>
      </c>
      <c r="G67" s="46">
        <f t="shared" si="4"/>
        <v>3628800</v>
      </c>
      <c r="H67" s="81"/>
      <c r="I67" s="47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40">
        <v>0</v>
      </c>
      <c r="AV67" s="31"/>
      <c r="AW67" s="31"/>
      <c r="AX67" s="31">
        <f>+COUNT(J23:AT24)/2+0.5</f>
        <v>16</v>
      </c>
    </row>
    <row r="68" spans="2:50" s="32" customFormat="1" ht="39" x14ac:dyDescent="0.25">
      <c r="B68" s="41" t="s">
        <v>138</v>
      </c>
      <c r="C68" s="42" t="s">
        <v>139</v>
      </c>
      <c r="D68" s="43" t="s">
        <v>110</v>
      </c>
      <c r="E68" s="44">
        <v>36</v>
      </c>
      <c r="F68" s="45">
        <v>19409.04</v>
      </c>
      <c r="G68" s="46">
        <f t="shared" si="4"/>
        <v>698725.44000000006</v>
      </c>
      <c r="H68" s="81"/>
      <c r="I68" s="47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40">
        <v>0</v>
      </c>
      <c r="AV68" s="31"/>
      <c r="AW68" s="31"/>
      <c r="AX68" s="31"/>
    </row>
    <row r="69" spans="2:50" s="32" customFormat="1" ht="39" x14ac:dyDescent="0.25">
      <c r="B69" s="41" t="s">
        <v>140</v>
      </c>
      <c r="C69" s="42" t="s">
        <v>141</v>
      </c>
      <c r="D69" s="43" t="s">
        <v>110</v>
      </c>
      <c r="E69" s="44">
        <v>24</v>
      </c>
      <c r="F69" s="45">
        <v>23778.719999999998</v>
      </c>
      <c r="G69" s="46">
        <f t="shared" si="4"/>
        <v>570689.27999999991</v>
      </c>
      <c r="H69" s="81"/>
      <c r="I69" s="47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40">
        <v>0</v>
      </c>
      <c r="AV69" s="31"/>
      <c r="AW69" s="31"/>
      <c r="AX69" s="31"/>
    </row>
    <row r="70" spans="2:50" s="32" customFormat="1" ht="26" x14ac:dyDescent="0.25">
      <c r="B70" s="41" t="s">
        <v>142</v>
      </c>
      <c r="C70" s="42" t="s">
        <v>143</v>
      </c>
      <c r="D70" s="43" t="s">
        <v>59</v>
      </c>
      <c r="E70" s="44">
        <v>15</v>
      </c>
      <c r="F70" s="45">
        <v>28148.399999999998</v>
      </c>
      <c r="G70" s="46">
        <f t="shared" si="4"/>
        <v>422225.99999999994</v>
      </c>
      <c r="H70" s="81"/>
      <c r="I70" s="47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40">
        <v>0</v>
      </c>
      <c r="AV70" s="31"/>
      <c r="AW70" s="31"/>
      <c r="AX70" s="31"/>
    </row>
    <row r="71" spans="2:50" s="32" customFormat="1" ht="39" x14ac:dyDescent="0.25">
      <c r="B71" s="41" t="s">
        <v>144</v>
      </c>
      <c r="C71" s="42" t="s">
        <v>145</v>
      </c>
      <c r="D71" s="43" t="s">
        <v>110</v>
      </c>
      <c r="E71" s="44">
        <v>100</v>
      </c>
      <c r="F71" s="45">
        <v>14460.263999999999</v>
      </c>
      <c r="G71" s="46">
        <f t="shared" si="4"/>
        <v>1446026.4</v>
      </c>
      <c r="H71" s="81"/>
      <c r="I71" s="47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40">
        <v>0</v>
      </c>
      <c r="AV71" s="31"/>
      <c r="AW71" s="31"/>
      <c r="AX71" s="31"/>
    </row>
    <row r="72" spans="2:50" s="32" customFormat="1" x14ac:dyDescent="0.3">
      <c r="B72" s="33">
        <v>9</v>
      </c>
      <c r="C72" s="34" t="s">
        <v>146</v>
      </c>
      <c r="D72" s="34"/>
      <c r="E72" s="34"/>
      <c r="F72" s="34"/>
      <c r="G72" s="34"/>
      <c r="H72" s="81">
        <f>+SUM(G73:G82)</f>
        <v>62360215.35882353</v>
      </c>
      <c r="I72" s="27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40">
        <v>0</v>
      </c>
      <c r="AV72" s="31"/>
      <c r="AW72" s="31"/>
      <c r="AX72" s="31"/>
    </row>
    <row r="73" spans="2:50" s="32" customFormat="1" ht="91" x14ac:dyDescent="0.3">
      <c r="B73" s="41" t="s">
        <v>147</v>
      </c>
      <c r="C73" s="42" t="s">
        <v>192</v>
      </c>
      <c r="D73" s="43" t="s">
        <v>84</v>
      </c>
      <c r="E73" s="44">
        <f t="shared" ref="E73:E82" si="5">+SUM(J73:AX73)</f>
        <v>2017.2500000000002</v>
      </c>
      <c r="F73" s="45">
        <v>20790</v>
      </c>
      <c r="G73" s="46">
        <f t="shared" si="4"/>
        <v>41938627.500000007</v>
      </c>
      <c r="I73" s="27"/>
      <c r="J73" s="31">
        <f t="shared" ref="J73:AT73" si="6">+J24</f>
        <v>60</v>
      </c>
      <c r="K73" s="31">
        <f t="shared" si="6"/>
        <v>61</v>
      </c>
      <c r="L73" s="31">
        <f t="shared" si="6"/>
        <v>0</v>
      </c>
      <c r="M73" s="31">
        <f t="shared" si="6"/>
        <v>0</v>
      </c>
      <c r="N73" s="31">
        <f t="shared" si="6"/>
        <v>38.799999999999997</v>
      </c>
      <c r="O73" s="31">
        <f t="shared" si="6"/>
        <v>36.299999999999997</v>
      </c>
      <c r="P73" s="31">
        <f t="shared" si="6"/>
        <v>60.8</v>
      </c>
      <c r="Q73" s="31">
        <f t="shared" si="6"/>
        <v>42.9</v>
      </c>
      <c r="R73" s="31">
        <f t="shared" si="6"/>
        <v>41.899999999999991</v>
      </c>
      <c r="S73" s="31">
        <f t="shared" si="6"/>
        <v>34.5</v>
      </c>
      <c r="T73" s="31">
        <f t="shared" si="6"/>
        <v>30.9</v>
      </c>
      <c r="U73" s="31">
        <f t="shared" si="6"/>
        <v>30.5</v>
      </c>
      <c r="V73" s="31">
        <f t="shared" si="6"/>
        <v>37.250000000000007</v>
      </c>
      <c r="W73" s="31">
        <f t="shared" si="6"/>
        <v>0</v>
      </c>
      <c r="X73" s="31">
        <f t="shared" si="6"/>
        <v>40.4</v>
      </c>
      <c r="Y73" s="31">
        <f t="shared" si="6"/>
        <v>19.350000000000001</v>
      </c>
      <c r="Z73" s="31">
        <f t="shared" si="6"/>
        <v>30.150000000000002</v>
      </c>
      <c r="AA73" s="31">
        <f t="shared" si="6"/>
        <v>18.899999999999999</v>
      </c>
      <c r="AB73" s="31">
        <f t="shared" si="6"/>
        <v>26.7</v>
      </c>
      <c r="AC73" s="31">
        <f t="shared" si="6"/>
        <v>72</v>
      </c>
      <c r="AD73" s="31">
        <f t="shared" si="6"/>
        <v>0</v>
      </c>
      <c r="AE73" s="31">
        <f t="shared" si="6"/>
        <v>54</v>
      </c>
      <c r="AF73" s="31">
        <f t="shared" si="6"/>
        <v>52.25</v>
      </c>
      <c r="AG73" s="31">
        <f t="shared" si="6"/>
        <v>72.5</v>
      </c>
      <c r="AH73" s="31">
        <f t="shared" si="6"/>
        <v>0</v>
      </c>
      <c r="AI73" s="31">
        <f t="shared" si="6"/>
        <v>77.490000000000009</v>
      </c>
      <c r="AJ73" s="31">
        <f t="shared" si="6"/>
        <v>72.090000000000018</v>
      </c>
      <c r="AK73" s="31">
        <f t="shared" si="6"/>
        <v>69.930000000000007</v>
      </c>
      <c r="AL73" s="31">
        <f t="shared" si="6"/>
        <v>61.29</v>
      </c>
      <c r="AM73" s="31">
        <f t="shared" si="6"/>
        <v>62.370000000000005</v>
      </c>
      <c r="AN73" s="31">
        <f t="shared" si="6"/>
        <v>108.81</v>
      </c>
      <c r="AO73" s="31">
        <f t="shared" si="6"/>
        <v>60.210000000000008</v>
      </c>
      <c r="AP73" s="31">
        <f t="shared" si="6"/>
        <v>0</v>
      </c>
      <c r="AQ73" s="31">
        <f t="shared" si="6"/>
        <v>59.13</v>
      </c>
      <c r="AR73" s="31">
        <f t="shared" si="6"/>
        <v>59.940000000000005</v>
      </c>
      <c r="AS73" s="31">
        <f t="shared" si="6"/>
        <v>66.690000000000012</v>
      </c>
      <c r="AT73" s="31">
        <f t="shared" si="6"/>
        <v>70.2</v>
      </c>
      <c r="AU73" s="40">
        <v>388</v>
      </c>
      <c r="AV73" s="31"/>
      <c r="AW73" s="31"/>
      <c r="AX73" s="31"/>
    </row>
    <row r="74" spans="2:50" s="32" customFormat="1" ht="91" x14ac:dyDescent="0.3">
      <c r="B74" s="41" t="s">
        <v>148</v>
      </c>
      <c r="C74" s="42" t="s">
        <v>149</v>
      </c>
      <c r="D74" s="43" t="s">
        <v>84</v>
      </c>
      <c r="E74" s="44">
        <f t="shared" si="5"/>
        <v>470</v>
      </c>
      <c r="F74" s="45">
        <v>24948.000000000004</v>
      </c>
      <c r="G74" s="46">
        <f t="shared" si="4"/>
        <v>11725560.000000002</v>
      </c>
      <c r="I74" s="27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40">
        <v>470</v>
      </c>
      <c r="AV74" s="31"/>
      <c r="AW74" s="31"/>
      <c r="AX74" s="31"/>
    </row>
    <row r="75" spans="2:50" s="32" customFormat="1" ht="39" x14ac:dyDescent="0.3">
      <c r="B75" s="41" t="s">
        <v>150</v>
      </c>
      <c r="C75" s="42" t="s">
        <v>151</v>
      </c>
      <c r="D75" s="43" t="s">
        <v>84</v>
      </c>
      <c r="E75" s="44">
        <f t="shared" si="5"/>
        <v>264</v>
      </c>
      <c r="F75" s="45">
        <v>22799.7</v>
      </c>
      <c r="G75" s="46">
        <f t="shared" si="4"/>
        <v>6019120.7999999998</v>
      </c>
      <c r="I75" s="27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  <c r="AT75" s="40"/>
      <c r="AU75" s="40">
        <v>64</v>
      </c>
      <c r="AV75" s="31"/>
      <c r="AW75" s="31"/>
      <c r="AX75" s="31">
        <v>200</v>
      </c>
    </row>
    <row r="76" spans="2:50" s="32" customFormat="1" x14ac:dyDescent="0.3">
      <c r="B76" s="41" t="s">
        <v>152</v>
      </c>
      <c r="C76" s="42" t="s">
        <v>153</v>
      </c>
      <c r="D76" s="43" t="s">
        <v>84</v>
      </c>
      <c r="E76" s="44">
        <f t="shared" si="5"/>
        <v>146</v>
      </c>
      <c r="F76" s="45">
        <v>2964.705882352941</v>
      </c>
      <c r="G76" s="46">
        <f t="shared" si="4"/>
        <v>432847.0588235294</v>
      </c>
      <c r="H76" s="81"/>
      <c r="I76" s="27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40">
        <v>136</v>
      </c>
      <c r="AV76" s="31"/>
      <c r="AW76" s="31"/>
      <c r="AX76" s="31">
        <v>10</v>
      </c>
    </row>
    <row r="77" spans="2:50" s="32" customFormat="1" x14ac:dyDescent="0.3">
      <c r="B77" s="41" t="s">
        <v>154</v>
      </c>
      <c r="C77" s="42" t="s">
        <v>155</v>
      </c>
      <c r="D77" s="43" t="s">
        <v>110</v>
      </c>
      <c r="E77" s="44">
        <f t="shared" si="5"/>
        <v>116</v>
      </c>
      <c r="F77" s="45">
        <v>1955.1724137931033</v>
      </c>
      <c r="G77" s="46">
        <f t="shared" si="4"/>
        <v>226799.99999999997</v>
      </c>
      <c r="H77" s="81"/>
      <c r="I77" s="27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40">
        <v>116</v>
      </c>
      <c r="AV77" s="31"/>
      <c r="AW77" s="31"/>
      <c r="AX77" s="31"/>
    </row>
    <row r="78" spans="2:50" s="32" customFormat="1" x14ac:dyDescent="0.3">
      <c r="B78" s="41" t="s">
        <v>156</v>
      </c>
      <c r="C78" s="42" t="s">
        <v>157</v>
      </c>
      <c r="D78" s="43" t="s">
        <v>110</v>
      </c>
      <c r="E78" s="44">
        <f t="shared" si="5"/>
        <v>47</v>
      </c>
      <c r="F78" s="45">
        <v>2948.9361702127662</v>
      </c>
      <c r="G78" s="46">
        <f t="shared" si="4"/>
        <v>138600</v>
      </c>
      <c r="H78" s="81"/>
      <c r="I78" s="27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40">
        <v>47</v>
      </c>
      <c r="AV78" s="31"/>
      <c r="AW78" s="31"/>
      <c r="AX78" s="31"/>
    </row>
    <row r="79" spans="2:50" s="32" customFormat="1" x14ac:dyDescent="0.3">
      <c r="B79" s="41" t="s">
        <v>158</v>
      </c>
      <c r="C79" s="42" t="s">
        <v>159</v>
      </c>
      <c r="D79" s="43" t="s">
        <v>110</v>
      </c>
      <c r="E79" s="44">
        <f t="shared" si="5"/>
        <v>38</v>
      </c>
      <c r="F79" s="45">
        <v>30870</v>
      </c>
      <c r="G79" s="46">
        <f t="shared" si="4"/>
        <v>1173060</v>
      </c>
      <c r="H79" s="81"/>
      <c r="I79" s="27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40">
        <v>38</v>
      </c>
      <c r="AV79" s="31"/>
      <c r="AW79" s="31"/>
      <c r="AX79" s="31"/>
    </row>
    <row r="80" spans="2:50" s="32" customFormat="1" x14ac:dyDescent="0.3">
      <c r="B80" s="41" t="s">
        <v>160</v>
      </c>
      <c r="C80" s="42" t="s">
        <v>161</v>
      </c>
      <c r="D80" s="43" t="s">
        <v>59</v>
      </c>
      <c r="E80" s="44">
        <f t="shared" si="5"/>
        <v>2</v>
      </c>
      <c r="F80" s="45">
        <v>81900</v>
      </c>
      <c r="G80" s="46">
        <f t="shared" si="4"/>
        <v>163800</v>
      </c>
      <c r="H80" s="81"/>
      <c r="I80" s="27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40">
        <v>2</v>
      </c>
      <c r="AV80" s="31"/>
      <c r="AW80" s="31"/>
      <c r="AX80" s="31"/>
    </row>
    <row r="81" spans="2:50" s="32" customFormat="1" x14ac:dyDescent="0.3">
      <c r="B81" s="41" t="s">
        <v>162</v>
      </c>
      <c r="C81" s="42" t="s">
        <v>163</v>
      </c>
      <c r="D81" s="43" t="s">
        <v>84</v>
      </c>
      <c r="E81" s="44">
        <f t="shared" si="5"/>
        <v>3</v>
      </c>
      <c r="F81" s="45">
        <v>75600</v>
      </c>
      <c r="G81" s="46">
        <f t="shared" si="4"/>
        <v>226800</v>
      </c>
      <c r="H81" s="81"/>
      <c r="I81" s="27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40">
        <v>3</v>
      </c>
      <c r="AV81" s="31"/>
      <c r="AW81" s="31"/>
      <c r="AX81" s="31"/>
    </row>
    <row r="82" spans="2:50" s="32" customFormat="1" x14ac:dyDescent="0.3">
      <c r="B82" s="41" t="s">
        <v>164</v>
      </c>
      <c r="C82" s="42" t="s">
        <v>165</v>
      </c>
      <c r="D82" s="43" t="s">
        <v>59</v>
      </c>
      <c r="E82" s="44">
        <f t="shared" si="5"/>
        <v>4</v>
      </c>
      <c r="F82" s="45">
        <v>78750</v>
      </c>
      <c r="G82" s="46">
        <f t="shared" si="4"/>
        <v>315000</v>
      </c>
      <c r="H82" s="81"/>
      <c r="I82" s="27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40">
        <v>4</v>
      </c>
      <c r="AV82" s="31"/>
      <c r="AW82" s="31"/>
      <c r="AX82" s="31"/>
    </row>
    <row r="83" spans="2:50" s="32" customFormat="1" x14ac:dyDescent="0.3">
      <c r="B83" s="41"/>
      <c r="C83" s="42"/>
      <c r="D83" s="43"/>
      <c r="E83" s="44"/>
      <c r="F83" s="45"/>
      <c r="G83" s="46"/>
      <c r="H83" s="81"/>
      <c r="I83" s="27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40">
        <v>0</v>
      </c>
      <c r="AV83" s="31"/>
      <c r="AW83" s="31"/>
      <c r="AX83" s="31"/>
    </row>
    <row r="84" spans="2:50" s="29" customFormat="1" ht="15.75" customHeight="1" x14ac:dyDescent="0.3">
      <c r="B84" s="51"/>
      <c r="C84" s="52" t="s">
        <v>166</v>
      </c>
      <c r="D84" s="53"/>
      <c r="E84" s="54"/>
      <c r="F84" s="53"/>
      <c r="G84" s="55">
        <f>SUM(G26:G83)</f>
        <v>92992464.707394958</v>
      </c>
      <c r="H84" s="82"/>
      <c r="I84" s="27"/>
      <c r="J84" s="56"/>
      <c r="L84" s="56"/>
      <c r="M84" s="56"/>
      <c r="N84" s="57"/>
      <c r="AX84" s="58"/>
    </row>
    <row r="85" spans="2:50" s="29" customFormat="1" ht="15.75" customHeight="1" x14ac:dyDescent="0.3">
      <c r="B85" s="51"/>
      <c r="C85" s="52" t="s">
        <v>167</v>
      </c>
      <c r="D85" s="53"/>
      <c r="E85" s="59">
        <v>0.25</v>
      </c>
      <c r="F85" s="53"/>
      <c r="G85" s="55">
        <f>+E85*G84</f>
        <v>23248116.176848739</v>
      </c>
      <c r="H85" s="81"/>
      <c r="I85" s="27"/>
      <c r="J85" s="56"/>
      <c r="K85" s="60"/>
      <c r="L85" s="56"/>
      <c r="M85" s="60"/>
      <c r="AX85" s="58"/>
    </row>
    <row r="86" spans="2:50" s="29" customFormat="1" ht="15.75" customHeight="1" x14ac:dyDescent="0.3">
      <c r="B86" s="51"/>
      <c r="C86" s="52" t="s">
        <v>168</v>
      </c>
      <c r="D86" s="53"/>
      <c r="E86" s="61">
        <v>0.05</v>
      </c>
      <c r="F86" s="62"/>
      <c r="G86" s="55">
        <f>+E86*G84</f>
        <v>4649623.2353697484</v>
      </c>
      <c r="H86" s="81"/>
      <c r="I86" s="27"/>
      <c r="J86" s="56"/>
      <c r="K86" s="60"/>
      <c r="L86" s="56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0"/>
      <c r="AN86" s="60"/>
      <c r="AO86" s="60"/>
      <c r="AP86" s="60"/>
      <c r="AQ86" s="60"/>
      <c r="AR86" s="60"/>
      <c r="AS86" s="60"/>
      <c r="AT86" s="60"/>
      <c r="AU86" s="60"/>
      <c r="AV86" s="60"/>
      <c r="AW86" s="60"/>
      <c r="AX86" s="58"/>
    </row>
    <row r="87" spans="2:50" s="29" customFormat="1" ht="15.75" customHeight="1" x14ac:dyDescent="0.3">
      <c r="B87" s="63"/>
      <c r="C87" s="52" t="s">
        <v>169</v>
      </c>
      <c r="D87" s="52"/>
      <c r="E87" s="64"/>
      <c r="F87" s="52"/>
      <c r="G87" s="55">
        <f>SUM(G84:G86)</f>
        <v>120890204.11961344</v>
      </c>
      <c r="H87" s="81"/>
      <c r="I87" s="27"/>
      <c r="J87" s="65"/>
      <c r="K87" s="60"/>
      <c r="L87" s="65"/>
      <c r="M87" s="60"/>
      <c r="N87" s="60"/>
      <c r="AX87" s="58"/>
    </row>
    <row r="88" spans="2:50" x14ac:dyDescent="0.3">
      <c r="B88" s="5"/>
      <c r="C88" s="18"/>
      <c r="D88" s="18"/>
      <c r="E88" s="19"/>
      <c r="F88" s="18"/>
      <c r="G88" s="18"/>
      <c r="I88" s="27"/>
      <c r="J88" s="65"/>
      <c r="K88" s="60"/>
      <c r="L88" s="65"/>
      <c r="M88" s="60"/>
      <c r="N88" s="60"/>
    </row>
    <row r="89" spans="2:50" x14ac:dyDescent="0.3">
      <c r="B89" s="5" t="s">
        <v>170</v>
      </c>
      <c r="C89" s="18"/>
      <c r="D89" s="18"/>
      <c r="E89" s="19"/>
      <c r="F89" s="18"/>
      <c r="G89" s="10"/>
      <c r="I89" s="27"/>
      <c r="J89" s="65"/>
      <c r="K89" s="66"/>
      <c r="L89" s="66"/>
      <c r="M89" s="66"/>
    </row>
    <row r="90" spans="2:50" ht="12" customHeight="1" x14ac:dyDescent="0.3">
      <c r="B90" s="5"/>
      <c r="C90" s="18" t="s">
        <v>193</v>
      </c>
      <c r="D90" s="18"/>
      <c r="E90" s="19"/>
      <c r="F90" s="18"/>
      <c r="G90" s="67"/>
    </row>
    <row r="91" spans="2:50" ht="18.75" customHeight="1" x14ac:dyDescent="0.3">
      <c r="B91" s="68" t="s">
        <v>171</v>
      </c>
      <c r="C91" s="68"/>
      <c r="D91" s="68"/>
      <c r="E91" s="69"/>
      <c r="F91" s="68"/>
      <c r="G91" s="68"/>
      <c r="J91" s="70"/>
      <c r="K91" s="71"/>
      <c r="L91" s="71"/>
      <c r="M91" s="71"/>
    </row>
    <row r="92" spans="2:50" ht="18.75" customHeight="1" x14ac:dyDescent="0.3">
      <c r="B92" s="68" t="s">
        <v>172</v>
      </c>
      <c r="C92" s="68"/>
      <c r="D92" s="68"/>
      <c r="E92" s="69"/>
      <c r="F92" s="68"/>
      <c r="G92" s="68"/>
      <c r="J92" s="70"/>
      <c r="K92" s="71"/>
      <c r="L92" s="13"/>
      <c r="M92" s="13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</row>
    <row r="93" spans="2:50" ht="18.75" customHeight="1" x14ac:dyDescent="0.3">
      <c r="B93" s="68" t="s">
        <v>173</v>
      </c>
      <c r="C93" s="68"/>
      <c r="D93" s="68"/>
      <c r="E93" s="69"/>
      <c r="F93" s="68"/>
      <c r="G93" s="68"/>
      <c r="J93" s="70"/>
      <c r="K93" s="71"/>
      <c r="L93" s="72"/>
      <c r="M93" s="72"/>
    </row>
    <row r="94" spans="2:50" x14ac:dyDescent="0.3">
      <c r="B94" s="73"/>
      <c r="C94" s="73"/>
      <c r="D94" s="73"/>
      <c r="E94" s="74"/>
      <c r="F94" s="73"/>
      <c r="G94" s="73"/>
      <c r="J94" s="70"/>
      <c r="K94" s="71"/>
      <c r="L94" s="75"/>
      <c r="M94" s="75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/>
      <c r="AP94" s="70"/>
      <c r="AQ94" s="70"/>
      <c r="AR94" s="70"/>
      <c r="AS94" s="70"/>
      <c r="AT94" s="70"/>
      <c r="AU94" s="70"/>
      <c r="AV94" s="70"/>
      <c r="AW94" s="70"/>
    </row>
    <row r="95" spans="2:50" ht="24" customHeight="1" x14ac:dyDescent="0.3">
      <c r="B95" s="148" t="s">
        <v>174</v>
      </c>
      <c r="C95" s="148"/>
      <c r="D95" s="148"/>
      <c r="E95" s="148"/>
      <c r="F95" s="148"/>
      <c r="G95" s="148"/>
      <c r="J95" s="70"/>
      <c r="K95" s="71"/>
      <c r="L95" s="75"/>
      <c r="M95" s="75"/>
    </row>
    <row r="96" spans="2:50" ht="17.25" customHeight="1" x14ac:dyDescent="0.3">
      <c r="B96" s="144" t="s">
        <v>175</v>
      </c>
      <c r="C96" s="145"/>
      <c r="D96" s="145"/>
      <c r="E96" s="145"/>
      <c r="F96" s="145"/>
      <c r="G96" s="145"/>
      <c r="J96" s="70"/>
      <c r="K96" s="71"/>
    </row>
    <row r="97" spans="2:51" ht="17.25" customHeight="1" x14ac:dyDescent="0.3">
      <c r="B97" s="144" t="s">
        <v>176</v>
      </c>
      <c r="C97" s="145"/>
      <c r="D97" s="145"/>
      <c r="E97" s="145"/>
      <c r="F97" s="145"/>
      <c r="G97" s="145"/>
      <c r="J97" s="70"/>
      <c r="K97" s="71"/>
      <c r="L97" s="71"/>
      <c r="M97" s="71"/>
    </row>
    <row r="98" spans="2:51" ht="17.25" customHeight="1" x14ac:dyDescent="0.3">
      <c r="B98" s="144" t="s">
        <v>177</v>
      </c>
      <c r="C98" s="145"/>
      <c r="D98" s="145"/>
      <c r="E98" s="145"/>
      <c r="F98" s="145"/>
      <c r="G98" s="145"/>
      <c r="J98" s="70"/>
      <c r="K98" s="71"/>
      <c r="L98" s="76"/>
      <c r="M98" s="76"/>
    </row>
    <row r="99" spans="2:51" ht="17.25" customHeight="1" x14ac:dyDescent="0.3">
      <c r="B99" s="144" t="s">
        <v>186</v>
      </c>
      <c r="C99" s="145"/>
      <c r="D99" s="145"/>
      <c r="E99" s="145"/>
      <c r="F99" s="145"/>
      <c r="G99" s="145"/>
      <c r="J99" s="70"/>
      <c r="K99" s="71"/>
    </row>
    <row r="100" spans="2:51" x14ac:dyDescent="0.3">
      <c r="B100" s="144"/>
      <c r="C100" s="145"/>
      <c r="D100" s="145"/>
      <c r="E100" s="145"/>
      <c r="F100" s="145"/>
      <c r="G100" s="145"/>
    </row>
    <row r="101" spans="2:51" x14ac:dyDescent="0.3">
      <c r="B101" s="68" t="s">
        <v>178</v>
      </c>
    </row>
    <row r="102" spans="2:51" x14ac:dyDescent="0.3">
      <c r="J102" s="78"/>
      <c r="K102" s="75"/>
      <c r="L102" s="75"/>
      <c r="M102" s="75"/>
    </row>
    <row r="103" spans="2:51" s="2" customFormat="1" x14ac:dyDescent="0.3">
      <c r="B103" s="68"/>
      <c r="C103" s="79"/>
      <c r="D103" s="10"/>
      <c r="E103" s="11"/>
      <c r="F103" s="77"/>
      <c r="G103" s="77"/>
      <c r="H103" s="81"/>
      <c r="I103" s="1"/>
      <c r="J103" s="78"/>
      <c r="K103" s="75"/>
      <c r="L103" s="75"/>
      <c r="M103" s="75"/>
      <c r="AY103" s="4"/>
    </row>
    <row r="104" spans="2:51" s="2" customFormat="1" x14ac:dyDescent="0.3">
      <c r="B104" s="68" t="s">
        <v>179</v>
      </c>
      <c r="C104" s="79"/>
      <c r="D104" s="10"/>
      <c r="E104" s="11"/>
      <c r="F104" s="77"/>
      <c r="G104" s="77"/>
      <c r="H104" s="81"/>
      <c r="I104" s="1"/>
      <c r="AY104" s="4"/>
    </row>
    <row r="105" spans="2:51" s="2" customFormat="1" x14ac:dyDescent="0.3">
      <c r="B105" s="68"/>
      <c r="C105" s="79"/>
      <c r="D105" s="10"/>
      <c r="E105" s="11"/>
      <c r="F105" s="77"/>
      <c r="G105" s="3"/>
      <c r="H105" s="81"/>
      <c r="I105" s="1"/>
      <c r="AY105" s="4"/>
    </row>
    <row r="106" spans="2:51" s="2" customFormat="1" x14ac:dyDescent="0.3">
      <c r="B106" s="68"/>
      <c r="C106" s="79"/>
      <c r="D106" s="10"/>
      <c r="E106" s="11"/>
      <c r="F106" s="77"/>
      <c r="G106" s="3"/>
      <c r="H106" s="81"/>
      <c r="I106" s="1"/>
      <c r="AY106" s="4"/>
    </row>
    <row r="107" spans="2:51" s="2" customFormat="1" x14ac:dyDescent="0.3">
      <c r="B107" s="68"/>
      <c r="C107" s="79"/>
      <c r="D107" s="10"/>
      <c r="E107" s="11"/>
      <c r="F107" s="77"/>
      <c r="G107" s="3"/>
      <c r="H107" s="81"/>
      <c r="I107" s="1"/>
      <c r="AY107" s="4"/>
    </row>
    <row r="108" spans="2:51" s="2" customFormat="1" x14ac:dyDescent="0.3">
      <c r="B108" s="80" t="s">
        <v>180</v>
      </c>
      <c r="C108" s="79"/>
      <c r="D108" s="10"/>
      <c r="E108" s="11"/>
      <c r="F108" s="77"/>
      <c r="G108" s="3"/>
      <c r="H108" s="81"/>
      <c r="I108" s="1"/>
      <c r="AY108" s="4"/>
    </row>
    <row r="109" spans="2:51" s="2" customFormat="1" x14ac:dyDescent="0.3">
      <c r="B109" s="80" t="s">
        <v>181</v>
      </c>
      <c r="C109" s="79"/>
      <c r="D109" s="10"/>
      <c r="E109" s="11"/>
      <c r="F109" s="77"/>
      <c r="G109" s="3"/>
      <c r="H109" s="81"/>
      <c r="I109" s="1"/>
      <c r="AY109" s="4"/>
    </row>
    <row r="110" spans="2:51" s="2" customFormat="1" x14ac:dyDescent="0.3">
      <c r="B110" s="68" t="s">
        <v>182</v>
      </c>
      <c r="C110" s="79"/>
      <c r="D110" s="10"/>
      <c r="E110" s="11"/>
      <c r="F110" s="77"/>
      <c r="G110" s="3"/>
      <c r="H110" s="81"/>
      <c r="I110" s="1"/>
      <c r="AY110" s="4"/>
    </row>
    <row r="111" spans="2:51" s="2" customFormat="1" x14ac:dyDescent="0.3">
      <c r="B111" s="68" t="s">
        <v>183</v>
      </c>
      <c r="C111" s="79"/>
      <c r="D111" s="10"/>
      <c r="E111" s="11"/>
      <c r="F111" s="77"/>
      <c r="G111" s="3"/>
      <c r="H111" s="81"/>
      <c r="I111" s="1"/>
      <c r="AY111" s="4"/>
    </row>
    <row r="112" spans="2:51" s="2" customFormat="1" x14ac:dyDescent="0.3">
      <c r="B112" s="68" t="s">
        <v>184</v>
      </c>
      <c r="C112" s="79"/>
      <c r="D112" s="10"/>
      <c r="E112" s="11"/>
      <c r="F112" s="77"/>
      <c r="G112" s="3"/>
      <c r="H112" s="81"/>
      <c r="I112" s="1"/>
      <c r="AY112" s="4"/>
    </row>
  </sheetData>
  <mergeCells count="13">
    <mergeCell ref="AV22:AW22"/>
    <mergeCell ref="B3:G3"/>
    <mergeCell ref="C14:G15"/>
    <mergeCell ref="B19:G19"/>
    <mergeCell ref="J22:AH22"/>
    <mergeCell ref="AI22:AT22"/>
    <mergeCell ref="B100:G100"/>
    <mergeCell ref="AP23:AP24"/>
    <mergeCell ref="B95:G95"/>
    <mergeCell ref="B96:G96"/>
    <mergeCell ref="B97:G97"/>
    <mergeCell ref="B98:G98"/>
    <mergeCell ref="B99:G99"/>
  </mergeCells>
  <pageMargins left="0.51181102362204722" right="0.51181102362204722" top="1.1023622047244095" bottom="0.55118110236220474" header="0.31496062992125984" footer="0.31496062992125984"/>
  <pageSetup paperSize="9" scale="64" orientation="portrait" r:id="rId1"/>
  <headerFooter>
    <oddHeader>&amp;RCT-008-19</oddHeader>
    <oddFooter>&amp;L&amp;"-,Cursiva"Redes eléctricas e iluminación - Pista de patinaje Caldas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462FF-88A1-4EAA-8C36-23B48088137F}">
  <dimension ref="B1:AZ112"/>
  <sheetViews>
    <sheetView showGridLines="0" view="pageBreakPreview" topLeftCell="A70" zoomScale="115" zoomScaleNormal="115" zoomScaleSheetLayoutView="115" zoomScalePageLayoutView="70" workbookViewId="0">
      <selection activeCell="I73" sqref="I73"/>
    </sheetView>
  </sheetViews>
  <sheetFormatPr baseColWidth="10" defaultColWidth="11.453125" defaultRowHeight="14" x14ac:dyDescent="0.3"/>
  <cols>
    <col min="1" max="1" width="3.7265625" style="4" customWidth="1"/>
    <col min="2" max="2" width="9" style="68" customWidth="1"/>
    <col min="3" max="3" width="52.1796875" style="10" customWidth="1"/>
    <col min="4" max="4" width="7.7265625" style="10" customWidth="1"/>
    <col min="5" max="5" width="10.1796875" style="11" customWidth="1"/>
    <col min="6" max="6" width="15.81640625" style="10" customWidth="1"/>
    <col min="7" max="7" width="15.81640625" style="77" customWidth="1"/>
    <col min="8" max="8" width="12" style="81" bestFit="1" customWidth="1"/>
    <col min="9" max="9" width="12" style="81" customWidth="1"/>
    <col min="10" max="10" width="11.1796875" style="1" bestFit="1" customWidth="1"/>
    <col min="11" max="11" width="13" style="2" bestFit="1" customWidth="1"/>
    <col min="12" max="12" width="11.1796875" style="2" customWidth="1"/>
    <col min="13" max="13" width="12" style="2" customWidth="1"/>
    <col min="14" max="14" width="1.54296875" style="2" customWidth="1"/>
    <col min="15" max="23" width="12.7265625" style="2" customWidth="1"/>
    <col min="24" max="24" width="1.81640625" style="2" customWidth="1"/>
    <col min="25" max="25" width="13.453125" style="2" bestFit="1" customWidth="1"/>
    <col min="26" max="30" width="12.7265625" style="2" customWidth="1"/>
    <col min="31" max="31" width="2.1796875" style="2" customWidth="1"/>
    <col min="32" max="50" width="12.7265625" style="2" customWidth="1"/>
    <col min="51" max="51" width="11.453125" style="2"/>
    <col min="52" max="16384" width="11.453125" style="4"/>
  </cols>
  <sheetData>
    <row r="1" spans="2:7" ht="15" customHeight="1" x14ac:dyDescent="0.3"/>
    <row r="3" spans="2:7" ht="21.75" customHeight="1" x14ac:dyDescent="0.3">
      <c r="B3" s="151" t="s">
        <v>0</v>
      </c>
      <c r="C3" s="151"/>
      <c r="D3" s="151"/>
      <c r="E3" s="151"/>
      <c r="F3" s="151"/>
      <c r="G3" s="151"/>
    </row>
    <row r="4" spans="2:7" x14ac:dyDescent="0.3">
      <c r="B4" s="5"/>
      <c r="C4" s="6"/>
      <c r="D4" s="6"/>
      <c r="E4" s="7"/>
      <c r="F4" s="6"/>
      <c r="G4" s="6"/>
    </row>
    <row r="5" spans="2:7" x14ac:dyDescent="0.3">
      <c r="B5" s="8" t="s">
        <v>194</v>
      </c>
      <c r="C5" s="9"/>
      <c r="G5" s="12"/>
    </row>
    <row r="6" spans="2:7" x14ac:dyDescent="0.3">
      <c r="B6" s="13"/>
      <c r="G6" s="14"/>
    </row>
    <row r="7" spans="2:7" x14ac:dyDescent="0.3">
      <c r="B7" s="8" t="s">
        <v>188</v>
      </c>
      <c r="C7" s="15"/>
      <c r="G7" s="10"/>
    </row>
    <row r="8" spans="2:7" x14ac:dyDescent="0.3">
      <c r="B8" s="5" t="s">
        <v>189</v>
      </c>
      <c r="C8" s="6"/>
      <c r="G8" s="10"/>
    </row>
    <row r="9" spans="2:7" x14ac:dyDescent="0.3">
      <c r="B9" s="8" t="s">
        <v>1</v>
      </c>
      <c r="C9" s="6"/>
      <c r="G9" s="10"/>
    </row>
    <row r="10" spans="2:7" x14ac:dyDescent="0.3">
      <c r="B10" s="8" t="s">
        <v>2</v>
      </c>
      <c r="C10" s="6"/>
      <c r="G10" s="10"/>
    </row>
    <row r="11" spans="2:7" x14ac:dyDescent="0.3">
      <c r="B11" s="8" t="s">
        <v>190</v>
      </c>
      <c r="C11" s="15"/>
      <c r="G11" s="10"/>
    </row>
    <row r="12" spans="2:7" x14ac:dyDescent="0.3">
      <c r="B12" s="8" t="s">
        <v>3</v>
      </c>
      <c r="C12" s="15"/>
      <c r="G12" s="10"/>
    </row>
    <row r="13" spans="2:7" x14ac:dyDescent="0.3">
      <c r="B13" s="8"/>
      <c r="G13" s="10"/>
    </row>
    <row r="14" spans="2:7" ht="14.25" customHeight="1" x14ac:dyDescent="0.3">
      <c r="B14" s="5" t="s">
        <v>4</v>
      </c>
      <c r="C14" s="152" t="s">
        <v>191</v>
      </c>
      <c r="D14" s="152"/>
      <c r="E14" s="152"/>
      <c r="F14" s="152"/>
      <c r="G14" s="152"/>
    </row>
    <row r="15" spans="2:7" x14ac:dyDescent="0.3">
      <c r="B15" s="13"/>
      <c r="C15" s="152"/>
      <c r="D15" s="152"/>
      <c r="E15" s="152"/>
      <c r="F15" s="152"/>
      <c r="G15" s="152"/>
    </row>
    <row r="16" spans="2:7" x14ac:dyDescent="0.3">
      <c r="B16" s="13"/>
      <c r="G16" s="10"/>
    </row>
    <row r="17" spans="2:51" x14ac:dyDescent="0.3">
      <c r="B17" s="8" t="s">
        <v>5</v>
      </c>
      <c r="G17" s="10"/>
      <c r="AF17" s="16"/>
      <c r="AG17" s="16"/>
      <c r="AH17" s="16"/>
    </row>
    <row r="18" spans="2:51" ht="11.25" customHeight="1" x14ac:dyDescent="0.3">
      <c r="B18" s="8"/>
      <c r="G18" s="10"/>
    </row>
    <row r="19" spans="2:51" ht="20.25" customHeight="1" x14ac:dyDescent="0.3">
      <c r="B19" s="153" t="s">
        <v>6</v>
      </c>
      <c r="C19" s="154"/>
      <c r="D19" s="154"/>
      <c r="E19" s="154"/>
      <c r="F19" s="154"/>
      <c r="G19" s="154"/>
      <c r="M19" s="15"/>
      <c r="N19" s="15"/>
    </row>
    <row r="20" spans="2:51" x14ac:dyDescent="0.3">
      <c r="B20" s="17"/>
      <c r="C20" s="18"/>
      <c r="D20" s="18"/>
      <c r="E20" s="19"/>
      <c r="F20" s="18"/>
      <c r="G20" s="18"/>
      <c r="K20" s="20"/>
      <c r="L20" s="15"/>
      <c r="M20" s="15"/>
      <c r="N20" s="15"/>
      <c r="AG20" s="2">
        <f>2.45*2</f>
        <v>4.9000000000000004</v>
      </c>
      <c r="AJ20" s="2" t="s">
        <v>7</v>
      </c>
    </row>
    <row r="21" spans="2:51" x14ac:dyDescent="0.3">
      <c r="B21" s="5" t="s">
        <v>8</v>
      </c>
      <c r="C21" s="18"/>
      <c r="D21" s="18"/>
      <c r="E21" s="19"/>
      <c r="F21" s="18"/>
      <c r="G21" s="21"/>
      <c r="J21" s="12" t="s">
        <v>7</v>
      </c>
      <c r="K21" s="2">
        <v>2.5</v>
      </c>
      <c r="AJ21" s="2">
        <v>2.7</v>
      </c>
    </row>
    <row r="22" spans="2:51" ht="15" customHeight="1" x14ac:dyDescent="0.3">
      <c r="B22" s="5"/>
      <c r="C22" s="18"/>
      <c r="D22" s="18"/>
      <c r="E22" s="19"/>
      <c r="F22" s="18"/>
      <c r="G22" s="21"/>
      <c r="K22" s="155" t="s">
        <v>9</v>
      </c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7"/>
      <c r="AJ22" s="158" t="s">
        <v>10</v>
      </c>
      <c r="AK22" s="159"/>
      <c r="AL22" s="159"/>
      <c r="AM22" s="159"/>
      <c r="AN22" s="159"/>
      <c r="AO22" s="159"/>
      <c r="AP22" s="159"/>
      <c r="AQ22" s="159"/>
      <c r="AR22" s="159"/>
      <c r="AS22" s="159"/>
      <c r="AT22" s="159"/>
      <c r="AU22" s="160"/>
      <c r="AW22" s="149" t="s">
        <v>11</v>
      </c>
      <c r="AX22" s="150"/>
      <c r="AY22" s="23" t="s">
        <v>12</v>
      </c>
    </row>
    <row r="23" spans="2:51" s="29" customFormat="1" ht="12.75" customHeight="1" x14ac:dyDescent="0.3">
      <c r="H23" s="81"/>
      <c r="I23" s="81"/>
      <c r="J23" s="27" t="s">
        <v>19</v>
      </c>
      <c r="K23" s="25" t="s">
        <v>20</v>
      </c>
      <c r="L23" s="24" t="s">
        <v>21</v>
      </c>
      <c r="M23" s="24" t="s">
        <v>22</v>
      </c>
      <c r="N23" s="24"/>
      <c r="O23" s="24" t="s">
        <v>23</v>
      </c>
      <c r="P23" s="24" t="s">
        <v>24</v>
      </c>
      <c r="Q23" s="24" t="s">
        <v>25</v>
      </c>
      <c r="R23" s="24" t="s">
        <v>26</v>
      </c>
      <c r="S23" s="24" t="s">
        <v>27</v>
      </c>
      <c r="T23" s="24" t="s">
        <v>28</v>
      </c>
      <c r="U23" s="24" t="s">
        <v>29</v>
      </c>
      <c r="V23" s="22" t="s">
        <v>30</v>
      </c>
      <c r="W23" s="24" t="s">
        <v>31</v>
      </c>
      <c r="X23" s="24"/>
      <c r="Y23" s="24" t="s">
        <v>32</v>
      </c>
      <c r="Z23" s="24" t="s">
        <v>33</v>
      </c>
      <c r="AA23" s="24" t="s">
        <v>34</v>
      </c>
      <c r="AB23" s="24" t="s">
        <v>35</v>
      </c>
      <c r="AC23" s="22" t="s">
        <v>36</v>
      </c>
      <c r="AD23" s="24" t="s">
        <v>37</v>
      </c>
      <c r="AE23" s="24"/>
      <c r="AF23" s="24" t="s">
        <v>38</v>
      </c>
      <c r="AG23" s="22" t="s">
        <v>39</v>
      </c>
      <c r="AH23" s="24" t="s">
        <v>40</v>
      </c>
      <c r="AI23" s="22" t="s">
        <v>41</v>
      </c>
      <c r="AJ23" s="28" t="s">
        <v>42</v>
      </c>
      <c r="AK23" s="28" t="s">
        <v>43</v>
      </c>
      <c r="AL23" s="28" t="s">
        <v>44</v>
      </c>
      <c r="AM23" s="28" t="s">
        <v>45</v>
      </c>
      <c r="AN23" s="28" t="s">
        <v>46</v>
      </c>
      <c r="AO23" s="28" t="s">
        <v>47</v>
      </c>
      <c r="AP23" s="24" t="s">
        <v>48</v>
      </c>
      <c r="AQ23" s="146" t="s">
        <v>49</v>
      </c>
      <c r="AR23" s="24" t="s">
        <v>50</v>
      </c>
      <c r="AS23" s="24" t="s">
        <v>51</v>
      </c>
      <c r="AT23" s="24" t="s">
        <v>52</v>
      </c>
      <c r="AU23" s="24" t="s">
        <v>53</v>
      </c>
      <c r="AV23" s="24" t="s">
        <v>185</v>
      </c>
      <c r="AW23" s="24"/>
      <c r="AX23" s="24"/>
      <c r="AY23" s="24"/>
    </row>
    <row r="24" spans="2:51" s="29" customFormat="1" ht="16.5" customHeight="1" x14ac:dyDescent="0.3">
      <c r="B24" s="25" t="s">
        <v>13</v>
      </c>
      <c r="C24" s="25" t="s">
        <v>14</v>
      </c>
      <c r="D24" s="25" t="s">
        <v>15</v>
      </c>
      <c r="E24" s="26" t="s">
        <v>16</v>
      </c>
      <c r="F24" s="25" t="s">
        <v>17</v>
      </c>
      <c r="G24" s="25" t="s">
        <v>18</v>
      </c>
      <c r="H24" s="81"/>
      <c r="I24" s="81"/>
      <c r="J24" s="30" t="s">
        <v>55</v>
      </c>
      <c r="K24" s="31">
        <f>6*4*$K$21</f>
        <v>60</v>
      </c>
      <c r="L24" s="31">
        <f>6.1*4*$K$21</f>
        <v>61</v>
      </c>
      <c r="M24" s="31"/>
      <c r="N24" s="31"/>
      <c r="O24" s="31">
        <f>(4.16*2+3.6*2)*$K$21</f>
        <v>38.799999999999997</v>
      </c>
      <c r="P24" s="31">
        <f>(4.16*2+3.1*2)*$K$21</f>
        <v>36.299999999999997</v>
      </c>
      <c r="Q24" s="31">
        <f>(4.16*2+8*2)*$K$21</f>
        <v>60.8</v>
      </c>
      <c r="R24" s="31">
        <f>(4.25*2+4.33*2)*$K$21</f>
        <v>42.9</v>
      </c>
      <c r="S24" s="31">
        <f>(4.05*2+4.33*2)*$K$21</f>
        <v>41.899999999999991</v>
      </c>
      <c r="T24" s="31">
        <f>(3.4*2+3.5*2)*$K$21</f>
        <v>34.5</v>
      </c>
      <c r="U24" s="31">
        <f>((1.3+3.5+2.42+0.3)*1+(2.42*2))*K21</f>
        <v>30.9</v>
      </c>
      <c r="V24" s="31">
        <f>(1.3*4+3.5*2)*$K$21</f>
        <v>30.5</v>
      </c>
      <c r="W24" s="31">
        <f>(4.23*2+3.22*2)*$K$21</f>
        <v>37.250000000000007</v>
      </c>
      <c r="X24" s="31"/>
      <c r="Y24" s="31">
        <f>(3.81*2+4.27*2)*$K$21</f>
        <v>40.4</v>
      </c>
      <c r="Z24" s="31">
        <f>(1.91*2+1.96*2)*$K$21</f>
        <v>19.350000000000001</v>
      </c>
      <c r="AA24" s="31">
        <f>(1.96*2+4.07*2)*$K$21</f>
        <v>30.150000000000002</v>
      </c>
      <c r="AB24" s="31">
        <f>(1.88*2+1.9*2)*$K$21</f>
        <v>18.899999999999999</v>
      </c>
      <c r="AC24" s="31">
        <f>(3.81*2+1.53*2)*$K$21</f>
        <v>26.7</v>
      </c>
      <c r="AD24" s="31">
        <f>(5.8*2+8.6*2)*$K$21</f>
        <v>72</v>
      </c>
      <c r="AE24" s="31"/>
      <c r="AF24" s="31">
        <f>(5.25*2+5.55*2)*$K$21</f>
        <v>54</v>
      </c>
      <c r="AG24" s="31">
        <f>(4.9*2+5.55*2)*$K$21</f>
        <v>52.25</v>
      </c>
      <c r="AH24" s="31">
        <f>(7.55*2+6.95*2)*$K$21</f>
        <v>72.5</v>
      </c>
      <c r="AI24" s="31"/>
      <c r="AJ24" s="31">
        <f>(7.2*2+7.15*2)*$AJ$21</f>
        <v>77.490000000000009</v>
      </c>
      <c r="AK24" s="31">
        <f>(7.2*2+6.15*2)*$AJ$21</f>
        <v>72.090000000000018</v>
      </c>
      <c r="AL24" s="31">
        <f>(9*2+3.95*2)*$AJ$21</f>
        <v>69.930000000000007</v>
      </c>
      <c r="AM24" s="31">
        <f>(7.5*2+3.85*2)*$AJ$21</f>
        <v>61.29</v>
      </c>
      <c r="AN24" s="31">
        <f>(7.5*2+4.05*2)*$AJ$21</f>
        <v>62.370000000000005</v>
      </c>
      <c r="AO24" s="31">
        <f>(4.2+4.25+1.5+7.2+3)*2*$AJ$21</f>
        <v>108.81</v>
      </c>
      <c r="AP24" s="31">
        <f>(7.45*2+3.7*2)*$AJ$21</f>
        <v>60.210000000000008</v>
      </c>
      <c r="AQ24" s="147"/>
      <c r="AR24" s="31">
        <f>(7.45*2+3.5*2)*$AJ$21</f>
        <v>59.13</v>
      </c>
      <c r="AS24" s="31">
        <f>(7.45*2+3.65*2)*$AJ$21</f>
        <v>59.940000000000005</v>
      </c>
      <c r="AT24" s="31">
        <f>(5.4*2+6.95*2)*$AJ$21</f>
        <v>66.690000000000012</v>
      </c>
      <c r="AU24" s="31">
        <f>(11.15*2+1.85*2)*$AJ$21</f>
        <v>70.2</v>
      </c>
      <c r="AV24" s="31"/>
      <c r="AW24" s="31"/>
      <c r="AX24" s="31"/>
      <c r="AY24" s="31"/>
    </row>
    <row r="25" spans="2:51" s="32" customFormat="1" x14ac:dyDescent="0.3">
      <c r="B25" s="33">
        <v>1</v>
      </c>
      <c r="C25" s="34" t="s">
        <v>56</v>
      </c>
      <c r="D25" s="35"/>
      <c r="E25" s="36"/>
      <c r="F25" s="37"/>
      <c r="G25" s="38"/>
      <c r="H25" s="81">
        <f>+SUM(G26:G32)</f>
        <v>1367064</v>
      </c>
      <c r="I25" s="81" t="e">
        <f>+#REF!</f>
        <v>#REF!</v>
      </c>
      <c r="J25" s="39" t="s">
        <v>57</v>
      </c>
      <c r="K25" s="40">
        <f>6*6</f>
        <v>36</v>
      </c>
      <c r="L25" s="40">
        <f>6.15*6</f>
        <v>36.900000000000006</v>
      </c>
      <c r="M25" s="40"/>
      <c r="N25" s="40"/>
      <c r="O25" s="40">
        <f>4.16*3.6</f>
        <v>14.976000000000001</v>
      </c>
      <c r="P25" s="40">
        <f>4.16*3.1</f>
        <v>12.896000000000001</v>
      </c>
      <c r="Q25" s="40">
        <f>4.16*8</f>
        <v>33.28</v>
      </c>
      <c r="R25" s="40">
        <f>4.25*4.33</f>
        <v>18.4025</v>
      </c>
      <c r="S25" s="40">
        <f>4.05*4.33</f>
        <v>17.5365</v>
      </c>
      <c r="T25" s="40">
        <f>3.4*3.5</f>
        <v>11.9</v>
      </c>
      <c r="U25" s="40">
        <f>((1.3+3.5+2.42+0.3)*1+(2.42*2))</f>
        <v>12.36</v>
      </c>
      <c r="V25" s="40">
        <f>1.3*3.5</f>
        <v>4.55</v>
      </c>
      <c r="W25" s="40">
        <f>4.23*3.22</f>
        <v>13.620600000000001</v>
      </c>
      <c r="X25" s="40"/>
      <c r="Y25" s="40">
        <f>3.81*4.27</f>
        <v>16.268699999999999</v>
      </c>
      <c r="Z25" s="40">
        <f>1.91*1.96</f>
        <v>3.7435999999999998</v>
      </c>
      <c r="AA25" s="40">
        <f>1.96*4.07</f>
        <v>7.9772000000000007</v>
      </c>
      <c r="AB25" s="31">
        <f>1.88*1.9</f>
        <v>3.5719999999999996</v>
      </c>
      <c r="AC25" s="31">
        <f>3.81*1.53</f>
        <v>5.8292999999999999</v>
      </c>
      <c r="AD25" s="31">
        <f>5.8*8.6</f>
        <v>49.879999999999995</v>
      </c>
      <c r="AE25" s="40"/>
      <c r="AF25" s="40">
        <f>5.25*5.55</f>
        <v>29.137499999999999</v>
      </c>
      <c r="AG25" s="31">
        <f>4.9*5.55</f>
        <v>27.195</v>
      </c>
      <c r="AH25" s="40">
        <f>7.55*6.95</f>
        <v>52.472499999999997</v>
      </c>
      <c r="AI25" s="40"/>
      <c r="AJ25" s="31">
        <f>7.2*7.15</f>
        <v>51.480000000000004</v>
      </c>
      <c r="AK25" s="31">
        <f>7.2*6.15</f>
        <v>44.28</v>
      </c>
      <c r="AL25" s="31">
        <f>9*3.95</f>
        <v>35.550000000000004</v>
      </c>
      <c r="AM25" s="31">
        <f>7.5*3.85</f>
        <v>28.875</v>
      </c>
      <c r="AN25" s="31">
        <f>7.5*4.05</f>
        <v>30.375</v>
      </c>
      <c r="AO25" s="31">
        <f>(4.2+4.25+1.5)*3+(4.05+3.85+2)*1.5</f>
        <v>44.7</v>
      </c>
      <c r="AP25" s="31">
        <f>7.45*3.7</f>
        <v>27.565000000000001</v>
      </c>
      <c r="AQ25" s="31"/>
      <c r="AR25" s="31">
        <f>7.45*3.5</f>
        <v>26.074999999999999</v>
      </c>
      <c r="AS25" s="31">
        <f>7.45*3.65</f>
        <v>27.192499999999999</v>
      </c>
      <c r="AT25" s="31">
        <f>5.4*6.95</f>
        <v>37.53</v>
      </c>
      <c r="AU25" s="31">
        <f>11.15*1.85</f>
        <v>20.627500000000001</v>
      </c>
      <c r="AV25" s="31"/>
      <c r="AW25" s="40"/>
      <c r="AX25" s="40"/>
      <c r="AY25" s="40"/>
    </row>
    <row r="26" spans="2:51" s="32" customFormat="1" ht="45.75" customHeight="1" x14ac:dyDescent="0.25">
      <c r="B26" s="41" t="s">
        <v>54</v>
      </c>
      <c r="C26" s="42" t="s">
        <v>58</v>
      </c>
      <c r="D26" s="43" t="s">
        <v>59</v>
      </c>
      <c r="E26" s="44">
        <f t="shared" ref="E26:E32" si="0">+SUM(K26:AY26)</f>
        <v>2</v>
      </c>
      <c r="F26" s="45">
        <v>90042</v>
      </c>
      <c r="G26" s="46">
        <f>+E26*F26</f>
        <v>180084</v>
      </c>
      <c r="H26" s="81"/>
      <c r="I26" s="81" t="e">
        <f>+#REF!</f>
        <v>#REF!</v>
      </c>
      <c r="J26" s="47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>
        <v>2</v>
      </c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>
        <v>0</v>
      </c>
      <c r="AW26" s="31"/>
      <c r="AX26" s="31"/>
      <c r="AY26" s="31"/>
    </row>
    <row r="27" spans="2:51" s="32" customFormat="1" ht="43.5" customHeight="1" x14ac:dyDescent="0.25">
      <c r="B27" s="41" t="s">
        <v>60</v>
      </c>
      <c r="C27" s="42" t="s">
        <v>61</v>
      </c>
      <c r="D27" s="43" t="s">
        <v>59</v>
      </c>
      <c r="E27" s="44">
        <f t="shared" si="0"/>
        <v>3</v>
      </c>
      <c r="F27" s="45">
        <v>81600</v>
      </c>
      <c r="G27" s="46">
        <f t="shared" ref="G27:G62" si="1">+E27*F27</f>
        <v>244800</v>
      </c>
      <c r="H27" s="81"/>
      <c r="I27" s="81" t="e">
        <f>+#REF!</f>
        <v>#REF!</v>
      </c>
      <c r="J27" s="47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>
        <v>3</v>
      </c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>
        <v>0</v>
      </c>
      <c r="AW27" s="31"/>
      <c r="AX27" s="31"/>
      <c r="AY27" s="31"/>
    </row>
    <row r="28" spans="2:51" s="32" customFormat="1" ht="42.75" customHeight="1" x14ac:dyDescent="0.25">
      <c r="B28" s="41" t="s">
        <v>62</v>
      </c>
      <c r="C28" s="42" t="s">
        <v>63</v>
      </c>
      <c r="D28" s="43" t="s">
        <v>59</v>
      </c>
      <c r="E28" s="44">
        <f t="shared" si="0"/>
        <v>1</v>
      </c>
      <c r="F28" s="45">
        <v>138300</v>
      </c>
      <c r="G28" s="46">
        <f t="shared" si="1"/>
        <v>138300</v>
      </c>
      <c r="H28" s="81"/>
      <c r="I28" s="81" t="e">
        <f>+#REF!</f>
        <v>#REF!</v>
      </c>
      <c r="J28" s="47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>
        <v>1</v>
      </c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>
        <v>0</v>
      </c>
      <c r="AW28" s="31"/>
      <c r="AX28" s="31"/>
      <c r="AY28" s="31"/>
    </row>
    <row r="29" spans="2:51" s="32" customFormat="1" ht="27" customHeight="1" x14ac:dyDescent="0.25">
      <c r="B29" s="41" t="s">
        <v>64</v>
      </c>
      <c r="C29" s="42" t="s">
        <v>211</v>
      </c>
      <c r="D29" s="43" t="s">
        <v>59</v>
      </c>
      <c r="E29" s="44">
        <f t="shared" si="0"/>
        <v>2</v>
      </c>
      <c r="F29" s="45">
        <v>50400</v>
      </c>
      <c r="G29" s="46">
        <f t="shared" si="1"/>
        <v>100800</v>
      </c>
      <c r="H29" s="81"/>
      <c r="I29" s="81" t="e">
        <f>+#REF!</f>
        <v>#REF!</v>
      </c>
      <c r="J29" s="47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>
        <v>2</v>
      </c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>
        <v>0</v>
      </c>
      <c r="AW29" s="31"/>
      <c r="AX29" s="31"/>
      <c r="AY29" s="31"/>
    </row>
    <row r="30" spans="2:51" s="32" customFormat="1" ht="27" customHeight="1" x14ac:dyDescent="0.25">
      <c r="B30" s="41" t="s">
        <v>66</v>
      </c>
      <c r="C30" s="42" t="s">
        <v>212</v>
      </c>
      <c r="D30" s="43" t="s">
        <v>59</v>
      </c>
      <c r="E30" s="44">
        <f t="shared" si="0"/>
        <v>3</v>
      </c>
      <c r="F30" s="45">
        <v>45360</v>
      </c>
      <c r="G30" s="46">
        <f t="shared" si="1"/>
        <v>136080</v>
      </c>
      <c r="H30" s="81"/>
      <c r="I30" s="81" t="e">
        <f>+#REF!</f>
        <v>#REF!</v>
      </c>
      <c r="J30" s="47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>
        <v>3</v>
      </c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>
        <v>0</v>
      </c>
      <c r="AW30" s="31"/>
      <c r="AX30" s="31"/>
      <c r="AY30" s="31"/>
    </row>
    <row r="31" spans="2:51" s="32" customFormat="1" ht="27" customHeight="1" x14ac:dyDescent="0.25">
      <c r="B31" s="41" t="s">
        <v>68</v>
      </c>
      <c r="C31" s="42" t="s">
        <v>213</v>
      </c>
      <c r="D31" s="43" t="s">
        <v>59</v>
      </c>
      <c r="E31" s="44">
        <f t="shared" si="0"/>
        <v>1</v>
      </c>
      <c r="F31" s="45">
        <v>90720</v>
      </c>
      <c r="G31" s="46">
        <f t="shared" si="1"/>
        <v>90720</v>
      </c>
      <c r="H31" s="81"/>
      <c r="I31" s="81" t="e">
        <f>+#REF!</f>
        <v>#REF!</v>
      </c>
      <c r="J31" s="47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>
        <v>1</v>
      </c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>
        <v>0</v>
      </c>
      <c r="AW31" s="31"/>
      <c r="AX31" s="31"/>
      <c r="AY31" s="31"/>
    </row>
    <row r="32" spans="2:51" s="32" customFormat="1" ht="27" customHeight="1" x14ac:dyDescent="0.25">
      <c r="B32" s="41" t="s">
        <v>70</v>
      </c>
      <c r="C32" s="42" t="s">
        <v>71</v>
      </c>
      <c r="D32" s="43" t="s">
        <v>59</v>
      </c>
      <c r="E32" s="44">
        <f t="shared" si="0"/>
        <v>7</v>
      </c>
      <c r="F32" s="45">
        <v>68040</v>
      </c>
      <c r="G32" s="46">
        <f t="shared" si="1"/>
        <v>476280</v>
      </c>
      <c r="H32" s="81"/>
      <c r="I32" s="81" t="e">
        <f>+#REF!</f>
        <v>#REF!</v>
      </c>
      <c r="J32" s="47"/>
      <c r="K32" s="31">
        <v>7</v>
      </c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</row>
    <row r="33" spans="2:51" s="32" customFormat="1" ht="14.25" customHeight="1" x14ac:dyDescent="0.25">
      <c r="B33" s="33">
        <v>2</v>
      </c>
      <c r="C33" s="34" t="s">
        <v>72</v>
      </c>
      <c r="D33" s="35"/>
      <c r="E33" s="48"/>
      <c r="F33" s="48"/>
      <c r="G33" s="48"/>
      <c r="H33" s="81">
        <f>+SUM(G34:G36)</f>
        <v>929169.36</v>
      </c>
      <c r="I33" s="81" t="e">
        <f>+#REF!</f>
        <v>#REF!</v>
      </c>
      <c r="J33" s="47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>
        <v>0</v>
      </c>
      <c r="AW33" s="31"/>
      <c r="AX33" s="31"/>
      <c r="AY33" s="31"/>
    </row>
    <row r="34" spans="2:51" s="32" customFormat="1" ht="23.25" customHeight="1" x14ac:dyDescent="0.25">
      <c r="B34" s="41" t="s">
        <v>73</v>
      </c>
      <c r="C34" s="42" t="s">
        <v>214</v>
      </c>
      <c r="D34" s="43" t="s">
        <v>59</v>
      </c>
      <c r="E34" s="44">
        <f>+SUM(K34:AY34)</f>
        <v>1</v>
      </c>
      <c r="F34" s="83">
        <v>53807.040000000008</v>
      </c>
      <c r="G34" s="46">
        <f t="shared" si="1"/>
        <v>53807.040000000008</v>
      </c>
      <c r="H34" s="81"/>
      <c r="I34" s="81" t="e">
        <f>+#REF!</f>
        <v>#REF!</v>
      </c>
      <c r="J34" s="47"/>
      <c r="K34" s="31">
        <v>1</v>
      </c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>
        <v>0</v>
      </c>
      <c r="AW34" s="31"/>
      <c r="AX34" s="31"/>
      <c r="AY34" s="31"/>
    </row>
    <row r="35" spans="2:51" s="32" customFormat="1" ht="29.25" customHeight="1" x14ac:dyDescent="0.25">
      <c r="B35" s="41" t="s">
        <v>75</v>
      </c>
      <c r="C35" s="42" t="s">
        <v>215</v>
      </c>
      <c r="D35" s="43" t="s">
        <v>59</v>
      </c>
      <c r="E35" s="44">
        <f>+SUM(K35:AY35)</f>
        <v>1</v>
      </c>
      <c r="F35" s="83">
        <v>94162.32</v>
      </c>
      <c r="G35" s="46">
        <f t="shared" si="1"/>
        <v>94162.32</v>
      </c>
      <c r="H35" s="81"/>
      <c r="I35" s="81" t="e">
        <f>+#REF!</f>
        <v>#REF!</v>
      </c>
      <c r="J35" s="47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>
        <v>1</v>
      </c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>
        <v>0</v>
      </c>
      <c r="AW35" s="31"/>
      <c r="AX35" s="31"/>
      <c r="AY35" s="31"/>
    </row>
    <row r="36" spans="2:51" s="32" customFormat="1" ht="26" x14ac:dyDescent="0.25">
      <c r="B36" s="41" t="s">
        <v>77</v>
      </c>
      <c r="C36" s="42" t="s">
        <v>78</v>
      </c>
      <c r="D36" s="43" t="s">
        <v>59</v>
      </c>
      <c r="E36" s="44">
        <f>+SUM(K36:AY36)</f>
        <v>1</v>
      </c>
      <c r="F36" s="45">
        <v>781200</v>
      </c>
      <c r="G36" s="46">
        <f t="shared" si="1"/>
        <v>781200</v>
      </c>
      <c r="H36" s="81"/>
      <c r="I36" s="81" t="e">
        <f>+#REF!</f>
        <v>#REF!</v>
      </c>
      <c r="J36" s="47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>
        <v>1</v>
      </c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>
        <v>0</v>
      </c>
      <c r="AW36" s="31"/>
      <c r="AX36" s="31"/>
      <c r="AY36" s="31"/>
    </row>
    <row r="37" spans="2:51" s="32" customFormat="1" ht="14.25" customHeight="1" x14ac:dyDescent="0.25">
      <c r="B37" s="33">
        <v>3</v>
      </c>
      <c r="C37" s="34" t="s">
        <v>79</v>
      </c>
      <c r="D37" s="35"/>
      <c r="E37" s="48"/>
      <c r="F37" s="48"/>
      <c r="G37" s="48"/>
      <c r="H37" s="81">
        <f>+SUM(G38:G43)</f>
        <v>7289025.4285714291</v>
      </c>
      <c r="I37" s="81" t="e">
        <f>+#REF!</f>
        <v>#REF!</v>
      </c>
      <c r="J37" s="47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>
        <v>0</v>
      </c>
      <c r="AW37" s="31"/>
      <c r="AX37" s="31"/>
      <c r="AY37" s="31"/>
    </row>
    <row r="38" spans="2:51" s="32" customFormat="1" ht="65" x14ac:dyDescent="0.25">
      <c r="B38" s="41" t="s">
        <v>80</v>
      </c>
      <c r="C38" s="49" t="s">
        <v>81</v>
      </c>
      <c r="D38" s="43" t="s">
        <v>59</v>
      </c>
      <c r="E38" s="44">
        <f t="shared" ref="E38:E43" si="2">+SUM(K38:AY38)</f>
        <v>15</v>
      </c>
      <c r="F38" s="45">
        <v>45600</v>
      </c>
      <c r="G38" s="46">
        <f t="shared" si="1"/>
        <v>684000</v>
      </c>
      <c r="H38" s="81"/>
      <c r="I38" s="81" t="e">
        <f>+#REF!</f>
        <v>#REF!</v>
      </c>
      <c r="J38" s="47"/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0</v>
      </c>
      <c r="AH38" s="31">
        <v>4</v>
      </c>
      <c r="AI38" s="31">
        <v>0</v>
      </c>
      <c r="AJ38" s="31">
        <v>0</v>
      </c>
      <c r="AK38" s="31">
        <v>7</v>
      </c>
      <c r="AL38" s="31">
        <v>0</v>
      </c>
      <c r="AM38" s="31">
        <v>0</v>
      </c>
      <c r="AN38" s="31">
        <v>4</v>
      </c>
      <c r="AO38" s="31">
        <v>0</v>
      </c>
      <c r="AP38" s="31">
        <v>0</v>
      </c>
      <c r="AQ38" s="31">
        <v>0</v>
      </c>
      <c r="AR38" s="31">
        <v>0</v>
      </c>
      <c r="AS38" s="31">
        <v>0</v>
      </c>
      <c r="AT38" s="31">
        <v>0</v>
      </c>
      <c r="AU38" s="31">
        <v>0</v>
      </c>
      <c r="AV38" s="31">
        <v>0</v>
      </c>
      <c r="AW38" s="31"/>
      <c r="AX38" s="31"/>
      <c r="AY38" s="31"/>
    </row>
    <row r="39" spans="2:51" s="32" customFormat="1" ht="26" x14ac:dyDescent="0.25">
      <c r="B39" s="41" t="s">
        <v>82</v>
      </c>
      <c r="C39" s="49" t="s">
        <v>83</v>
      </c>
      <c r="D39" s="43" t="s">
        <v>84</v>
      </c>
      <c r="E39" s="44">
        <f t="shared" si="2"/>
        <v>7.74</v>
      </c>
      <c r="F39" s="45">
        <v>81600</v>
      </c>
      <c r="G39" s="46">
        <f t="shared" si="1"/>
        <v>631584</v>
      </c>
      <c r="H39" s="81"/>
      <c r="I39" s="81" t="e">
        <f>+#REF!</f>
        <v>#REF!</v>
      </c>
      <c r="J39" s="47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50">
        <f>2.15*3.6</f>
        <v>7.74</v>
      </c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>
        <v>0</v>
      </c>
      <c r="AW39" s="31"/>
      <c r="AX39" s="31"/>
      <c r="AY39" s="31"/>
    </row>
    <row r="40" spans="2:51" s="32" customFormat="1" ht="26" x14ac:dyDescent="0.25">
      <c r="B40" s="41" t="s">
        <v>85</v>
      </c>
      <c r="C40" s="49" t="s">
        <v>86</v>
      </c>
      <c r="D40" s="43" t="s">
        <v>84</v>
      </c>
      <c r="E40" s="44">
        <f t="shared" si="2"/>
        <v>27</v>
      </c>
      <c r="F40" s="45">
        <v>109200</v>
      </c>
      <c r="G40" s="46">
        <f t="shared" si="1"/>
        <v>2948400</v>
      </c>
      <c r="H40" s="81"/>
      <c r="I40" s="81" t="e">
        <f>+#REF!</f>
        <v>#REF!</v>
      </c>
      <c r="J40" s="47"/>
      <c r="K40" s="31"/>
      <c r="L40" s="31"/>
      <c r="M40" s="31">
        <f>4*3</f>
        <v>12</v>
      </c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>
        <v>15</v>
      </c>
      <c r="AW40" s="31"/>
      <c r="AX40" s="31"/>
      <c r="AY40" s="31"/>
    </row>
    <row r="41" spans="2:51" s="32" customFormat="1" ht="31.5" customHeight="1" x14ac:dyDescent="0.25">
      <c r="B41" s="41" t="s">
        <v>87</v>
      </c>
      <c r="C41" s="49" t="s">
        <v>88</v>
      </c>
      <c r="D41" s="43" t="s">
        <v>84</v>
      </c>
      <c r="E41" s="44">
        <f t="shared" si="2"/>
        <v>49.875</v>
      </c>
      <c r="F41" s="45">
        <v>21600</v>
      </c>
      <c r="G41" s="46">
        <f t="shared" si="1"/>
        <v>1077300</v>
      </c>
      <c r="H41" s="81"/>
      <c r="I41" s="81" t="e">
        <f>+#REF!</f>
        <v>#REF!</v>
      </c>
      <c r="J41" s="47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>
        <v>15</v>
      </c>
      <c r="AI41" s="31"/>
      <c r="AJ41" s="31"/>
      <c r="AK41" s="31">
        <f>(2.8+2.8+3.5)*2.5</f>
        <v>22.75</v>
      </c>
      <c r="AL41" s="31"/>
      <c r="AM41" s="31"/>
      <c r="AN41" s="31">
        <f>(2.85+2)*2.5</f>
        <v>12.125</v>
      </c>
      <c r="AO41" s="31"/>
      <c r="AP41" s="31"/>
      <c r="AQ41" s="31"/>
      <c r="AR41" s="31"/>
      <c r="AS41" s="31"/>
      <c r="AT41" s="31"/>
      <c r="AU41" s="31"/>
      <c r="AV41" s="31">
        <v>0</v>
      </c>
      <c r="AW41" s="31"/>
      <c r="AX41" s="31"/>
      <c r="AY41" s="31"/>
    </row>
    <row r="42" spans="2:51" s="32" customFormat="1" ht="24.75" customHeight="1" x14ac:dyDescent="0.25">
      <c r="B42" s="41" t="s">
        <v>89</v>
      </c>
      <c r="C42" s="42" t="s">
        <v>90</v>
      </c>
      <c r="D42" s="43" t="s">
        <v>84</v>
      </c>
      <c r="E42" s="44">
        <f t="shared" si="2"/>
        <v>23.732142857142858</v>
      </c>
      <c r="F42" s="45">
        <v>42480</v>
      </c>
      <c r="G42" s="46">
        <f t="shared" si="1"/>
        <v>1008141.4285714286</v>
      </c>
      <c r="H42" s="81"/>
      <c r="I42" s="81" t="e">
        <f>+#REF!</f>
        <v>#REF!</v>
      </c>
      <c r="J42" s="47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>
        <f>(3.5)*2.5</f>
        <v>8.75</v>
      </c>
      <c r="AL42" s="31"/>
      <c r="AM42" s="31"/>
      <c r="AN42" s="31">
        <f>(2.85+2)*2.5</f>
        <v>12.125</v>
      </c>
      <c r="AO42" s="31"/>
      <c r="AP42" s="31"/>
      <c r="AQ42" s="31"/>
      <c r="AR42" s="31"/>
      <c r="AS42" s="31"/>
      <c r="AT42" s="31"/>
      <c r="AU42" s="31"/>
      <c r="AV42" s="40">
        <v>2.8571428571428572</v>
      </c>
      <c r="AW42" s="31"/>
      <c r="AX42" s="31"/>
      <c r="AY42" s="31"/>
    </row>
    <row r="43" spans="2:51" s="32" customFormat="1" ht="33.75" customHeight="1" x14ac:dyDescent="0.25">
      <c r="B43" s="41" t="s">
        <v>91</v>
      </c>
      <c r="C43" s="42" t="s">
        <v>92</v>
      </c>
      <c r="D43" s="43" t="s">
        <v>84</v>
      </c>
      <c r="E43" s="44">
        <f t="shared" si="2"/>
        <v>30</v>
      </c>
      <c r="F43" s="45">
        <v>31320</v>
      </c>
      <c r="G43" s="46">
        <f t="shared" si="1"/>
        <v>939600</v>
      </c>
      <c r="H43" s="81"/>
      <c r="I43" s="81" t="e">
        <f>+#REF!</f>
        <v>#REF!</v>
      </c>
      <c r="J43" s="47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>
        <f>(3*4)*2.5</f>
        <v>30</v>
      </c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40">
        <v>0</v>
      </c>
      <c r="AW43" s="31"/>
      <c r="AX43" s="31"/>
      <c r="AY43" s="31"/>
    </row>
    <row r="44" spans="2:51" s="32" customFormat="1" ht="14.25" customHeight="1" x14ac:dyDescent="0.25">
      <c r="B44" s="33">
        <v>4</v>
      </c>
      <c r="C44" s="34" t="s">
        <v>93</v>
      </c>
      <c r="D44" s="35"/>
      <c r="E44" s="35"/>
      <c r="F44" s="35"/>
      <c r="G44" s="35"/>
      <c r="H44" s="81">
        <f>+SUM(G45:G47)</f>
        <v>2270400</v>
      </c>
      <c r="I44" s="81" t="e">
        <f>+#REF!</f>
        <v>#REF!</v>
      </c>
      <c r="J44" s="47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40">
        <v>0</v>
      </c>
      <c r="AW44" s="31"/>
      <c r="AX44" s="31"/>
      <c r="AY44" s="31"/>
    </row>
    <row r="45" spans="2:51" s="32" customFormat="1" ht="30" customHeight="1" x14ac:dyDescent="0.25">
      <c r="B45" s="41" t="s">
        <v>94</v>
      </c>
      <c r="C45" s="42" t="s">
        <v>95</v>
      </c>
      <c r="D45" s="43" t="s">
        <v>59</v>
      </c>
      <c r="E45" s="44">
        <f>+SUM(K45:AY45)</f>
        <v>2</v>
      </c>
      <c r="F45" s="45">
        <v>151200</v>
      </c>
      <c r="G45" s="46">
        <f t="shared" si="1"/>
        <v>302400</v>
      </c>
      <c r="H45" s="81"/>
      <c r="I45" s="81" t="e">
        <f>+#REF!</f>
        <v>#REF!</v>
      </c>
      <c r="J45" s="47"/>
      <c r="K45" s="31"/>
      <c r="L45" s="31"/>
      <c r="M45" s="31">
        <v>2</v>
      </c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40">
        <v>0</v>
      </c>
      <c r="AW45" s="31"/>
      <c r="AX45" s="31"/>
      <c r="AY45" s="31"/>
    </row>
    <row r="46" spans="2:51" s="32" customFormat="1" ht="37.5" customHeight="1" x14ac:dyDescent="0.25">
      <c r="B46" s="41" t="s">
        <v>96</v>
      </c>
      <c r="C46" s="42" t="s">
        <v>97</v>
      </c>
      <c r="D46" s="43" t="s">
        <v>59</v>
      </c>
      <c r="E46" s="44">
        <f>+SUM(K46:AY46)</f>
        <v>1</v>
      </c>
      <c r="F46" s="45">
        <v>478800</v>
      </c>
      <c r="G46" s="46">
        <f t="shared" si="1"/>
        <v>478800</v>
      </c>
      <c r="H46" s="81"/>
      <c r="I46" s="81" t="e">
        <f>+#REF!</f>
        <v>#REF!</v>
      </c>
      <c r="J46" s="47"/>
      <c r="K46" s="31"/>
      <c r="L46" s="31"/>
      <c r="M46" s="31">
        <v>1</v>
      </c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40">
        <v>0</v>
      </c>
      <c r="AW46" s="31"/>
      <c r="AX46" s="31"/>
      <c r="AY46" s="31"/>
    </row>
    <row r="47" spans="2:51" s="32" customFormat="1" ht="34.5" customHeight="1" x14ac:dyDescent="0.25">
      <c r="B47" s="41" t="s">
        <v>98</v>
      </c>
      <c r="C47" s="42" t="s">
        <v>99</v>
      </c>
      <c r="D47" s="43" t="s">
        <v>59</v>
      </c>
      <c r="E47" s="44">
        <f>+SUM(K47:AY47)</f>
        <v>2</v>
      </c>
      <c r="F47" s="45">
        <v>744600</v>
      </c>
      <c r="G47" s="46">
        <f t="shared" si="1"/>
        <v>1489200</v>
      </c>
      <c r="H47" s="81"/>
      <c r="I47" s="81" t="e">
        <f>+#REF!</f>
        <v>#REF!</v>
      </c>
      <c r="J47" s="47"/>
      <c r="K47" s="31"/>
      <c r="L47" s="31"/>
      <c r="M47" s="31">
        <v>2</v>
      </c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40">
        <v>0</v>
      </c>
      <c r="AW47" s="31"/>
      <c r="AX47" s="31"/>
      <c r="AY47" s="31"/>
    </row>
    <row r="48" spans="2:51" s="32" customFormat="1" ht="14.25" customHeight="1" x14ac:dyDescent="0.25">
      <c r="B48" s="33">
        <v>5</v>
      </c>
      <c r="C48" s="34" t="s">
        <v>100</v>
      </c>
      <c r="D48" s="35"/>
      <c r="E48" s="35"/>
      <c r="F48" s="35"/>
      <c r="G48" s="35"/>
      <c r="H48" s="81">
        <f>+SUM(G49:G50)</f>
        <v>463239</v>
      </c>
      <c r="I48" s="81" t="e">
        <f>+#REF!</f>
        <v>#REF!</v>
      </c>
      <c r="J48" s="47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40">
        <v>0</v>
      </c>
      <c r="AW48" s="31"/>
      <c r="AX48" s="31"/>
      <c r="AY48" s="31"/>
    </row>
    <row r="49" spans="2:51" s="32" customFormat="1" ht="30" customHeight="1" x14ac:dyDescent="0.25">
      <c r="B49" s="41" t="s">
        <v>101</v>
      </c>
      <c r="C49" s="42" t="s">
        <v>216</v>
      </c>
      <c r="D49" s="43" t="s">
        <v>84</v>
      </c>
      <c r="E49" s="44">
        <f>+SUM(K49:AY49)</f>
        <v>15</v>
      </c>
      <c r="F49" s="45">
        <v>13948.2</v>
      </c>
      <c r="G49" s="46">
        <f t="shared" si="1"/>
        <v>209223</v>
      </c>
      <c r="H49" s="81"/>
      <c r="I49" s="81" t="e">
        <f>+#REF!</f>
        <v>#REF!</v>
      </c>
      <c r="J49" s="47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40">
        <v>15</v>
      </c>
      <c r="AW49" s="31"/>
      <c r="AX49" s="31"/>
      <c r="AY49" s="31"/>
    </row>
    <row r="50" spans="2:51" s="32" customFormat="1" ht="30" customHeight="1" x14ac:dyDescent="0.25">
      <c r="B50" s="41" t="s">
        <v>103</v>
      </c>
      <c r="C50" s="42" t="s">
        <v>217</v>
      </c>
      <c r="D50" s="43" t="s">
        <v>84</v>
      </c>
      <c r="E50" s="44">
        <f>+SUM(K50:AY50)</f>
        <v>18</v>
      </c>
      <c r="F50" s="45">
        <v>14112</v>
      </c>
      <c r="G50" s="46">
        <f t="shared" si="1"/>
        <v>254016</v>
      </c>
      <c r="H50" s="81"/>
      <c r="I50" s="81" t="e">
        <f>+#REF!</f>
        <v>#REF!</v>
      </c>
      <c r="J50" s="47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>
        <f>1.8*4*2.5</f>
        <v>18</v>
      </c>
      <c r="AS50" s="31"/>
      <c r="AT50" s="31"/>
      <c r="AU50" s="31"/>
      <c r="AV50" s="40">
        <v>0</v>
      </c>
      <c r="AW50" s="31"/>
      <c r="AX50" s="31"/>
      <c r="AY50" s="31"/>
    </row>
    <row r="51" spans="2:51" s="32" customFormat="1" x14ac:dyDescent="0.25">
      <c r="B51" s="33">
        <v>6</v>
      </c>
      <c r="C51" s="34" t="s">
        <v>105</v>
      </c>
      <c r="D51" s="35"/>
      <c r="E51" s="35"/>
      <c r="F51" s="35"/>
      <c r="G51" s="35"/>
      <c r="H51" s="81">
        <f>+SUM(G52:G55)</f>
        <v>2436651</v>
      </c>
      <c r="I51" s="81" t="e">
        <f>+#REF!</f>
        <v>#REF!</v>
      </c>
      <c r="J51" s="47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40">
        <v>0</v>
      </c>
      <c r="AW51" s="31"/>
      <c r="AX51" s="31"/>
      <c r="AY51" s="31"/>
    </row>
    <row r="52" spans="2:51" s="32" customFormat="1" ht="44.25" customHeight="1" x14ac:dyDescent="0.25">
      <c r="B52" s="41" t="s">
        <v>106</v>
      </c>
      <c r="C52" s="42" t="s">
        <v>107</v>
      </c>
      <c r="D52" s="43" t="s">
        <v>84</v>
      </c>
      <c r="E52" s="44">
        <f>+SUM(K52:AY52)</f>
        <v>22.625</v>
      </c>
      <c r="F52" s="45">
        <v>58968</v>
      </c>
      <c r="G52" s="46">
        <f>+E52*F52</f>
        <v>1334151</v>
      </c>
      <c r="H52" s="81"/>
      <c r="I52" s="81" t="e">
        <f>+#REF!</f>
        <v>#REF!</v>
      </c>
      <c r="J52" s="47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>
        <f>(2.8+2.25)*2.5</f>
        <v>12.625</v>
      </c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40">
        <v>10</v>
      </c>
      <c r="AW52" s="31"/>
      <c r="AX52" s="31"/>
      <c r="AY52" s="31"/>
    </row>
    <row r="53" spans="2:51" s="32" customFormat="1" ht="26" x14ac:dyDescent="0.25">
      <c r="B53" s="41" t="s">
        <v>108</v>
      </c>
      <c r="C53" s="42" t="s">
        <v>109</v>
      </c>
      <c r="D53" s="43" t="s">
        <v>110</v>
      </c>
      <c r="E53" s="44">
        <f>+SUM(K53:AY53)</f>
        <v>4</v>
      </c>
      <c r="F53" s="45">
        <v>163800</v>
      </c>
      <c r="G53" s="46">
        <f t="shared" si="1"/>
        <v>655200</v>
      </c>
      <c r="H53" s="81"/>
      <c r="I53" s="81" t="e">
        <f>+#REF!</f>
        <v>#REF!</v>
      </c>
      <c r="J53" s="47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40">
        <v>4</v>
      </c>
      <c r="AW53" s="31"/>
      <c r="AX53" s="31"/>
      <c r="AY53" s="31"/>
    </row>
    <row r="54" spans="2:51" s="32" customFormat="1" x14ac:dyDescent="0.25">
      <c r="B54" s="41" t="s">
        <v>111</v>
      </c>
      <c r="C54" s="42" t="s">
        <v>112</v>
      </c>
      <c r="D54" s="43" t="s">
        <v>110</v>
      </c>
      <c r="E54" s="44">
        <f>+SUM(K54:AY54)</f>
        <v>1.2</v>
      </c>
      <c r="F54" s="45">
        <v>262500</v>
      </c>
      <c r="G54" s="46">
        <f t="shared" si="1"/>
        <v>315000</v>
      </c>
      <c r="H54" s="81"/>
      <c r="I54" s="81" t="e">
        <f>+#REF!</f>
        <v>#REF!</v>
      </c>
      <c r="J54" s="47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40">
        <v>1.2</v>
      </c>
      <c r="AW54" s="31"/>
      <c r="AX54" s="31"/>
      <c r="AY54" s="31"/>
    </row>
    <row r="55" spans="2:51" s="32" customFormat="1" ht="17.25" customHeight="1" x14ac:dyDescent="0.25">
      <c r="B55" s="41" t="s">
        <v>113</v>
      </c>
      <c r="C55" s="42" t="s">
        <v>114</v>
      </c>
      <c r="D55" s="43" t="s">
        <v>84</v>
      </c>
      <c r="E55" s="44">
        <v>1</v>
      </c>
      <c r="F55" s="45">
        <v>132300</v>
      </c>
      <c r="G55" s="46">
        <f t="shared" si="1"/>
        <v>132300</v>
      </c>
      <c r="H55" s="81"/>
      <c r="I55" s="81" t="e">
        <f>+#REF!</f>
        <v>#REF!</v>
      </c>
      <c r="J55" s="47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40"/>
      <c r="AW55" s="31"/>
      <c r="AX55" s="31"/>
      <c r="AY55" s="31"/>
    </row>
    <row r="56" spans="2:51" s="32" customFormat="1" x14ac:dyDescent="0.25">
      <c r="B56" s="33">
        <v>7</v>
      </c>
      <c r="C56" s="34" t="s">
        <v>115</v>
      </c>
      <c r="D56" s="34"/>
      <c r="E56" s="34"/>
      <c r="F56" s="34"/>
      <c r="G56" s="34"/>
      <c r="H56" s="81">
        <f>+SUM(G57:G62)</f>
        <v>2700180</v>
      </c>
      <c r="I56" s="81" t="e">
        <f>+#REF!</f>
        <v>#REF!</v>
      </c>
      <c r="J56" s="47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40">
        <v>0</v>
      </c>
      <c r="AW56" s="31"/>
      <c r="AX56" s="31"/>
      <c r="AY56" s="31"/>
    </row>
    <row r="57" spans="2:51" s="32" customFormat="1" ht="26" x14ac:dyDescent="0.25">
      <c r="B57" s="41" t="s">
        <v>116</v>
      </c>
      <c r="C57" s="42" t="s">
        <v>117</v>
      </c>
      <c r="D57" s="43" t="s">
        <v>110</v>
      </c>
      <c r="E57" s="44">
        <f t="shared" ref="E57:E62" si="3">+SUM(K57:AY57)</f>
        <v>15.3</v>
      </c>
      <c r="F57" s="45">
        <v>12600</v>
      </c>
      <c r="G57" s="46">
        <f>+E57*F57</f>
        <v>192780</v>
      </c>
      <c r="H57" s="81"/>
      <c r="I57" s="81" t="e">
        <f>+#REF!</f>
        <v>#REF!</v>
      </c>
      <c r="J57" s="47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>
        <f>2.5+3.5+2.5+2+2.8+2</f>
        <v>15.3</v>
      </c>
      <c r="AR57" s="31"/>
      <c r="AS57" s="31"/>
      <c r="AT57" s="31"/>
      <c r="AU57" s="31"/>
      <c r="AV57" s="40">
        <v>0</v>
      </c>
      <c r="AW57" s="31"/>
      <c r="AX57" s="31"/>
      <c r="AY57" s="31"/>
    </row>
    <row r="58" spans="2:51" s="32" customFormat="1" ht="26" x14ac:dyDescent="0.25">
      <c r="B58" s="41" t="s">
        <v>118</v>
      </c>
      <c r="C58" s="42" t="s">
        <v>119</v>
      </c>
      <c r="D58" s="43" t="s">
        <v>59</v>
      </c>
      <c r="E58" s="44">
        <f t="shared" si="3"/>
        <v>1</v>
      </c>
      <c r="F58" s="45">
        <v>252000</v>
      </c>
      <c r="G58" s="46">
        <f>+E58*F58</f>
        <v>252000</v>
      </c>
      <c r="H58" s="81"/>
      <c r="I58" s="81" t="e">
        <f>+#REF!</f>
        <v>#REF!</v>
      </c>
      <c r="J58" s="47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>
        <v>1</v>
      </c>
      <c r="AR58" s="31"/>
      <c r="AS58" s="31"/>
      <c r="AT58" s="31"/>
      <c r="AU58" s="31"/>
      <c r="AV58" s="40">
        <v>0</v>
      </c>
      <c r="AW58" s="31"/>
      <c r="AX58" s="31"/>
      <c r="AY58" s="31"/>
    </row>
    <row r="59" spans="2:51" s="32" customFormat="1" ht="26" x14ac:dyDescent="0.25">
      <c r="B59" s="41" t="s">
        <v>120</v>
      </c>
      <c r="C59" s="42" t="s">
        <v>121</v>
      </c>
      <c r="D59" s="43" t="s">
        <v>59</v>
      </c>
      <c r="E59" s="44">
        <f t="shared" si="3"/>
        <v>1</v>
      </c>
      <c r="F59" s="45">
        <v>176400</v>
      </c>
      <c r="G59" s="46">
        <f>+E59*F59</f>
        <v>176400</v>
      </c>
      <c r="H59" s="81"/>
      <c r="I59" s="81" t="e">
        <f>+#REF!</f>
        <v>#REF!</v>
      </c>
      <c r="J59" s="47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>
        <v>1</v>
      </c>
      <c r="AR59" s="31"/>
      <c r="AS59" s="31"/>
      <c r="AT59" s="31"/>
      <c r="AU59" s="31"/>
      <c r="AV59" s="40">
        <v>0</v>
      </c>
      <c r="AW59" s="31"/>
      <c r="AX59" s="31"/>
      <c r="AY59" s="31"/>
    </row>
    <row r="60" spans="2:51" s="32" customFormat="1" ht="26" x14ac:dyDescent="0.25">
      <c r="B60" s="41" t="s">
        <v>122</v>
      </c>
      <c r="C60" s="42" t="s">
        <v>123</v>
      </c>
      <c r="D60" s="43" t="s">
        <v>59</v>
      </c>
      <c r="E60" s="44">
        <f t="shared" si="3"/>
        <v>1</v>
      </c>
      <c r="F60" s="45">
        <v>226800</v>
      </c>
      <c r="G60" s="46">
        <f>+E60*F60</f>
        <v>226800</v>
      </c>
      <c r="H60" s="81"/>
      <c r="I60" s="81" t="e">
        <f>+#REF!</f>
        <v>#REF!</v>
      </c>
      <c r="J60" s="47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>
        <v>1</v>
      </c>
      <c r="AR60" s="31"/>
      <c r="AS60" s="31"/>
      <c r="AT60" s="31"/>
      <c r="AU60" s="31"/>
      <c r="AV60" s="40">
        <v>0</v>
      </c>
      <c r="AW60" s="31"/>
      <c r="AX60" s="31"/>
      <c r="AY60" s="31"/>
    </row>
    <row r="61" spans="2:51" s="32" customFormat="1" ht="39" x14ac:dyDescent="0.25">
      <c r="B61" s="41" t="s">
        <v>124</v>
      </c>
      <c r="C61" s="42" t="s">
        <v>125</v>
      </c>
      <c r="D61" s="43" t="s">
        <v>59</v>
      </c>
      <c r="E61" s="44">
        <f t="shared" si="3"/>
        <v>12</v>
      </c>
      <c r="F61" s="45">
        <v>91350</v>
      </c>
      <c r="G61" s="46">
        <f t="shared" si="1"/>
        <v>1096200</v>
      </c>
      <c r="H61" s="81"/>
      <c r="I61" s="81" t="e">
        <f>+#REF!</f>
        <v>#REF!</v>
      </c>
      <c r="J61" s="47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>
        <f>10+2</f>
        <v>12</v>
      </c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40">
        <v>0</v>
      </c>
      <c r="AW61" s="31"/>
      <c r="AX61" s="31"/>
      <c r="AY61" s="31"/>
    </row>
    <row r="62" spans="2:51" s="32" customFormat="1" ht="52" x14ac:dyDescent="0.25">
      <c r="B62" s="41" t="s">
        <v>126</v>
      </c>
      <c r="C62" s="42" t="s">
        <v>127</v>
      </c>
      <c r="D62" s="43" t="s">
        <v>128</v>
      </c>
      <c r="E62" s="44">
        <f t="shared" si="3"/>
        <v>1</v>
      </c>
      <c r="F62" s="45">
        <v>756000</v>
      </c>
      <c r="G62" s="46">
        <f t="shared" si="1"/>
        <v>756000</v>
      </c>
      <c r="H62" s="81"/>
      <c r="I62" s="81" t="e">
        <f>+#REF!</f>
        <v>#REF!</v>
      </c>
      <c r="J62" s="47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>
        <f>1/4</f>
        <v>0.25</v>
      </c>
      <c r="W62" s="31"/>
      <c r="X62" s="31"/>
      <c r="Y62" s="31"/>
      <c r="Z62" s="31"/>
      <c r="AA62" s="31"/>
      <c r="AB62" s="31"/>
      <c r="AC62" s="31">
        <f>1/4</f>
        <v>0.25</v>
      </c>
      <c r="AD62" s="31"/>
      <c r="AE62" s="31"/>
      <c r="AF62" s="31"/>
      <c r="AG62" s="31">
        <f>1/4</f>
        <v>0.25</v>
      </c>
      <c r="AH62" s="31"/>
      <c r="AI62" s="31">
        <f>1/4</f>
        <v>0.25</v>
      </c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40">
        <v>0</v>
      </c>
      <c r="AW62" s="31"/>
      <c r="AX62" s="31"/>
      <c r="AY62" s="31"/>
    </row>
    <row r="63" spans="2:51" s="32" customFormat="1" x14ac:dyDescent="0.25">
      <c r="B63" s="33">
        <v>8</v>
      </c>
      <c r="C63" s="34" t="s">
        <v>129</v>
      </c>
      <c r="D63" s="34"/>
      <c r="E63" s="34"/>
      <c r="F63" s="34"/>
      <c r="G63" s="34"/>
      <c r="H63" s="81">
        <f>+SUM(G64:G71)</f>
        <v>4008113.4240000001</v>
      </c>
      <c r="I63" s="81" t="e">
        <f>+#REF!</f>
        <v>#REF!</v>
      </c>
      <c r="J63" s="47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40">
        <v>0</v>
      </c>
      <c r="AW63" s="31"/>
      <c r="AX63" s="31"/>
      <c r="AY63" s="31"/>
    </row>
    <row r="64" spans="2:51" s="32" customFormat="1" ht="39" x14ac:dyDescent="0.25">
      <c r="B64" s="41" t="s">
        <v>130</v>
      </c>
      <c r="C64" s="42" t="s">
        <v>131</v>
      </c>
      <c r="D64" s="43" t="s">
        <v>128</v>
      </c>
      <c r="E64" s="44">
        <f>+SUM(K64:AY64)</f>
        <v>1</v>
      </c>
      <c r="F64" s="45">
        <v>1092420</v>
      </c>
      <c r="G64" s="46">
        <f t="shared" ref="G64:G82" si="4">+E64*F64</f>
        <v>1092420</v>
      </c>
      <c r="H64" s="81"/>
      <c r="I64" s="81" t="e">
        <f>+#REF!</f>
        <v>#REF!</v>
      </c>
      <c r="J64" s="47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40">
        <v>0</v>
      </c>
      <c r="AW64" s="31"/>
      <c r="AX64" s="31"/>
      <c r="AY64" s="31">
        <v>1</v>
      </c>
    </row>
    <row r="65" spans="2:51" s="32" customFormat="1" ht="26" x14ac:dyDescent="0.25">
      <c r="B65" s="41" t="s">
        <v>132</v>
      </c>
      <c r="C65" s="42" t="s">
        <v>133</v>
      </c>
      <c r="D65" s="43" t="s">
        <v>59</v>
      </c>
      <c r="E65" s="44">
        <f>+SUM(K65:AY65)</f>
        <v>2</v>
      </c>
      <c r="F65" s="45">
        <v>214200</v>
      </c>
      <c r="G65" s="46">
        <f t="shared" si="4"/>
        <v>428400</v>
      </c>
      <c r="H65" s="81"/>
      <c r="I65" s="81" t="e">
        <f>+#REF!</f>
        <v>#REF!</v>
      </c>
      <c r="J65" s="47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40">
        <v>0</v>
      </c>
      <c r="AW65" s="31"/>
      <c r="AX65" s="31"/>
      <c r="AY65" s="31">
        <v>2</v>
      </c>
    </row>
    <row r="66" spans="2:51" s="32" customFormat="1" ht="52" x14ac:dyDescent="0.25">
      <c r="B66" s="41" t="s">
        <v>134</v>
      </c>
      <c r="C66" s="42" t="s">
        <v>135</v>
      </c>
      <c r="D66" s="43" t="s">
        <v>59</v>
      </c>
      <c r="E66" s="44">
        <f>+SUM(K66:AY66)</f>
        <v>1</v>
      </c>
      <c r="F66" s="45">
        <v>1134000</v>
      </c>
      <c r="G66" s="46">
        <f t="shared" si="4"/>
        <v>1134000</v>
      </c>
      <c r="H66" s="81"/>
      <c r="I66" s="81" t="e">
        <f>+#REF!</f>
        <v>#REF!</v>
      </c>
      <c r="J66" s="47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40">
        <v>0</v>
      </c>
      <c r="AW66" s="31"/>
      <c r="AX66" s="31"/>
      <c r="AY66" s="31">
        <v>1</v>
      </c>
    </row>
    <row r="67" spans="2:51" s="32" customFormat="1" ht="26" x14ac:dyDescent="0.25">
      <c r="B67" s="41" t="s">
        <v>136</v>
      </c>
      <c r="C67" s="42" t="s">
        <v>137</v>
      </c>
      <c r="D67" s="43" t="s">
        <v>59</v>
      </c>
      <c r="E67" s="44">
        <f>+SUM(K67:AY67)</f>
        <v>16</v>
      </c>
      <c r="F67" s="45">
        <v>45360</v>
      </c>
      <c r="G67" s="46">
        <f t="shared" si="4"/>
        <v>725760</v>
      </c>
      <c r="H67" s="81"/>
      <c r="I67" s="81" t="e">
        <f>+#REF!</f>
        <v>#REF!</v>
      </c>
      <c r="J67" s="47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40">
        <v>0</v>
      </c>
      <c r="AW67" s="31"/>
      <c r="AX67" s="31"/>
      <c r="AY67" s="31">
        <f>+COUNT(K23:AU24)/2+0.5</f>
        <v>16</v>
      </c>
    </row>
    <row r="68" spans="2:51" s="32" customFormat="1" ht="39" x14ac:dyDescent="0.25">
      <c r="B68" s="41" t="s">
        <v>138</v>
      </c>
      <c r="C68" s="42" t="s">
        <v>139</v>
      </c>
      <c r="D68" s="43" t="s">
        <v>110</v>
      </c>
      <c r="E68" s="44">
        <v>36</v>
      </c>
      <c r="F68" s="45">
        <v>3881.8080000000004</v>
      </c>
      <c r="G68" s="46">
        <f t="shared" si="4"/>
        <v>139745.08800000002</v>
      </c>
      <c r="H68" s="81"/>
      <c r="I68" s="81" t="e">
        <f>+#REF!</f>
        <v>#REF!</v>
      </c>
      <c r="J68" s="47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40">
        <v>0</v>
      </c>
      <c r="AW68" s="31"/>
      <c r="AX68" s="31"/>
      <c r="AY68" s="31"/>
    </row>
    <row r="69" spans="2:51" s="32" customFormat="1" ht="39" x14ac:dyDescent="0.25">
      <c r="B69" s="41" t="s">
        <v>140</v>
      </c>
      <c r="C69" s="42" t="s">
        <v>141</v>
      </c>
      <c r="D69" s="43" t="s">
        <v>110</v>
      </c>
      <c r="E69" s="44">
        <v>24</v>
      </c>
      <c r="F69" s="45">
        <v>4755.7439999999997</v>
      </c>
      <c r="G69" s="46">
        <f t="shared" si="4"/>
        <v>114137.856</v>
      </c>
      <c r="H69" s="81"/>
      <c r="I69" s="81" t="e">
        <f>+#REF!</f>
        <v>#REF!</v>
      </c>
      <c r="J69" s="47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40">
        <v>0</v>
      </c>
      <c r="AW69" s="31"/>
      <c r="AX69" s="31"/>
      <c r="AY69" s="31"/>
    </row>
    <row r="70" spans="2:51" s="32" customFormat="1" ht="26" x14ac:dyDescent="0.25">
      <c r="B70" s="41" t="s">
        <v>142</v>
      </c>
      <c r="C70" s="42" t="s">
        <v>143</v>
      </c>
      <c r="D70" s="43" t="s">
        <v>59</v>
      </c>
      <c r="E70" s="44">
        <v>15</v>
      </c>
      <c r="F70" s="45">
        <v>5629.68</v>
      </c>
      <c r="G70" s="46">
        <f t="shared" si="4"/>
        <v>84445.200000000012</v>
      </c>
      <c r="H70" s="81"/>
      <c r="I70" s="81" t="e">
        <f>+#REF!</f>
        <v>#REF!</v>
      </c>
      <c r="J70" s="47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40">
        <v>0</v>
      </c>
      <c r="AW70" s="31"/>
      <c r="AX70" s="31"/>
      <c r="AY70" s="31"/>
    </row>
    <row r="71" spans="2:51" s="32" customFormat="1" ht="39" x14ac:dyDescent="0.25">
      <c r="B71" s="41" t="s">
        <v>144</v>
      </c>
      <c r="C71" s="42" t="s">
        <v>145</v>
      </c>
      <c r="D71" s="43" t="s">
        <v>110</v>
      </c>
      <c r="E71" s="44">
        <v>100</v>
      </c>
      <c r="F71" s="45">
        <v>2892.0527999999999</v>
      </c>
      <c r="G71" s="46">
        <f t="shared" si="4"/>
        <v>289205.27999999997</v>
      </c>
      <c r="H71" s="81"/>
      <c r="I71" s="81" t="e">
        <f>+#REF!</f>
        <v>#REF!</v>
      </c>
      <c r="J71" s="47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40">
        <v>0</v>
      </c>
      <c r="AW71" s="31"/>
      <c r="AX71" s="31"/>
      <c r="AY71" s="31"/>
    </row>
    <row r="72" spans="2:51" s="32" customFormat="1" x14ac:dyDescent="0.3">
      <c r="B72" s="33">
        <v>9</v>
      </c>
      <c r="C72" s="34" t="s">
        <v>146</v>
      </c>
      <c r="D72" s="34"/>
      <c r="E72" s="34"/>
      <c r="F72" s="34"/>
      <c r="G72" s="34"/>
      <c r="H72" s="81">
        <f>+SUM(G73:G82)</f>
        <v>62360215.35882353</v>
      </c>
      <c r="I72" s="81" t="e">
        <f>+#REF!</f>
        <v>#REF!</v>
      </c>
      <c r="J72" s="27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40">
        <v>0</v>
      </c>
      <c r="AW72" s="31"/>
      <c r="AX72" s="31"/>
      <c r="AY72" s="31"/>
    </row>
    <row r="73" spans="2:51" s="32" customFormat="1" ht="91" x14ac:dyDescent="0.3">
      <c r="B73" s="41" t="s">
        <v>147</v>
      </c>
      <c r="C73" s="42" t="s">
        <v>192</v>
      </c>
      <c r="D73" s="43" t="s">
        <v>84</v>
      </c>
      <c r="E73" s="44">
        <f t="shared" ref="E73:E82" si="5">+SUM(K73:AY73)</f>
        <v>2017.2500000000002</v>
      </c>
      <c r="F73" s="45">
        <v>20790</v>
      </c>
      <c r="G73" s="46">
        <f t="shared" si="4"/>
        <v>41938627.500000007</v>
      </c>
      <c r="I73" s="81" t="e">
        <f>+#REF!</f>
        <v>#REF!</v>
      </c>
      <c r="J73" s="27"/>
      <c r="K73" s="31">
        <f t="shared" ref="K73:AU73" si="6">+K24</f>
        <v>60</v>
      </c>
      <c r="L73" s="31">
        <f t="shared" si="6"/>
        <v>61</v>
      </c>
      <c r="M73" s="31">
        <f t="shared" si="6"/>
        <v>0</v>
      </c>
      <c r="N73" s="31">
        <f t="shared" si="6"/>
        <v>0</v>
      </c>
      <c r="O73" s="31">
        <f t="shared" si="6"/>
        <v>38.799999999999997</v>
      </c>
      <c r="P73" s="31">
        <f t="shared" si="6"/>
        <v>36.299999999999997</v>
      </c>
      <c r="Q73" s="31">
        <f t="shared" si="6"/>
        <v>60.8</v>
      </c>
      <c r="R73" s="31">
        <f t="shared" si="6"/>
        <v>42.9</v>
      </c>
      <c r="S73" s="31">
        <f t="shared" si="6"/>
        <v>41.899999999999991</v>
      </c>
      <c r="T73" s="31">
        <f t="shared" si="6"/>
        <v>34.5</v>
      </c>
      <c r="U73" s="31">
        <f t="shared" si="6"/>
        <v>30.9</v>
      </c>
      <c r="V73" s="31">
        <f t="shared" si="6"/>
        <v>30.5</v>
      </c>
      <c r="W73" s="31">
        <f t="shared" si="6"/>
        <v>37.250000000000007</v>
      </c>
      <c r="X73" s="31">
        <f t="shared" si="6"/>
        <v>0</v>
      </c>
      <c r="Y73" s="31">
        <f t="shared" si="6"/>
        <v>40.4</v>
      </c>
      <c r="Z73" s="31">
        <f t="shared" si="6"/>
        <v>19.350000000000001</v>
      </c>
      <c r="AA73" s="31">
        <f t="shared" si="6"/>
        <v>30.150000000000002</v>
      </c>
      <c r="AB73" s="31">
        <f t="shared" si="6"/>
        <v>18.899999999999999</v>
      </c>
      <c r="AC73" s="31">
        <f t="shared" si="6"/>
        <v>26.7</v>
      </c>
      <c r="AD73" s="31">
        <f t="shared" si="6"/>
        <v>72</v>
      </c>
      <c r="AE73" s="31">
        <f t="shared" si="6"/>
        <v>0</v>
      </c>
      <c r="AF73" s="31">
        <f t="shared" si="6"/>
        <v>54</v>
      </c>
      <c r="AG73" s="31">
        <f t="shared" si="6"/>
        <v>52.25</v>
      </c>
      <c r="AH73" s="31">
        <f t="shared" si="6"/>
        <v>72.5</v>
      </c>
      <c r="AI73" s="31">
        <f t="shared" si="6"/>
        <v>0</v>
      </c>
      <c r="AJ73" s="31">
        <f t="shared" si="6"/>
        <v>77.490000000000009</v>
      </c>
      <c r="AK73" s="31">
        <f t="shared" si="6"/>
        <v>72.090000000000018</v>
      </c>
      <c r="AL73" s="31">
        <f t="shared" si="6"/>
        <v>69.930000000000007</v>
      </c>
      <c r="AM73" s="31">
        <f t="shared" si="6"/>
        <v>61.29</v>
      </c>
      <c r="AN73" s="31">
        <f t="shared" si="6"/>
        <v>62.370000000000005</v>
      </c>
      <c r="AO73" s="31">
        <f t="shared" si="6"/>
        <v>108.81</v>
      </c>
      <c r="AP73" s="31">
        <f t="shared" si="6"/>
        <v>60.210000000000008</v>
      </c>
      <c r="AQ73" s="31">
        <f t="shared" si="6"/>
        <v>0</v>
      </c>
      <c r="AR73" s="31">
        <f t="shared" si="6"/>
        <v>59.13</v>
      </c>
      <c r="AS73" s="31">
        <f t="shared" si="6"/>
        <v>59.940000000000005</v>
      </c>
      <c r="AT73" s="31">
        <f t="shared" si="6"/>
        <v>66.690000000000012</v>
      </c>
      <c r="AU73" s="31">
        <f t="shared" si="6"/>
        <v>70.2</v>
      </c>
      <c r="AV73" s="40">
        <v>388</v>
      </c>
      <c r="AW73" s="31"/>
      <c r="AX73" s="31"/>
      <c r="AY73" s="31"/>
    </row>
    <row r="74" spans="2:51" s="32" customFormat="1" ht="91" x14ac:dyDescent="0.3">
      <c r="B74" s="41" t="s">
        <v>148</v>
      </c>
      <c r="C74" s="42" t="s">
        <v>149</v>
      </c>
      <c r="D74" s="43" t="s">
        <v>84</v>
      </c>
      <c r="E74" s="44">
        <f t="shared" si="5"/>
        <v>470</v>
      </c>
      <c r="F74" s="45">
        <v>24948.000000000004</v>
      </c>
      <c r="G74" s="46">
        <f t="shared" si="4"/>
        <v>11725560.000000002</v>
      </c>
      <c r="J74" s="27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40">
        <v>470</v>
      </c>
      <c r="AW74" s="31"/>
      <c r="AX74" s="31"/>
      <c r="AY74" s="31"/>
    </row>
    <row r="75" spans="2:51" s="32" customFormat="1" ht="39" x14ac:dyDescent="0.3">
      <c r="B75" s="41" t="s">
        <v>150</v>
      </c>
      <c r="C75" s="42" t="s">
        <v>151</v>
      </c>
      <c r="D75" s="43" t="s">
        <v>84</v>
      </c>
      <c r="E75" s="44">
        <f t="shared" si="5"/>
        <v>264</v>
      </c>
      <c r="F75" s="45">
        <v>22799.7</v>
      </c>
      <c r="G75" s="46">
        <f t="shared" si="4"/>
        <v>6019120.7999999998</v>
      </c>
      <c r="J75" s="27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  <c r="AT75" s="40"/>
      <c r="AU75" s="40"/>
      <c r="AV75" s="40">
        <v>64</v>
      </c>
      <c r="AW75" s="31"/>
      <c r="AX75" s="31"/>
      <c r="AY75" s="31">
        <v>200</v>
      </c>
    </row>
    <row r="76" spans="2:51" s="32" customFormat="1" x14ac:dyDescent="0.3">
      <c r="B76" s="41" t="s">
        <v>152</v>
      </c>
      <c r="C76" s="42" t="s">
        <v>153</v>
      </c>
      <c r="D76" s="43" t="s">
        <v>84</v>
      </c>
      <c r="E76" s="44">
        <f t="shared" si="5"/>
        <v>146</v>
      </c>
      <c r="F76" s="45">
        <v>2964.705882352941</v>
      </c>
      <c r="G76" s="46">
        <f t="shared" si="4"/>
        <v>432847.0588235294</v>
      </c>
      <c r="H76" s="81"/>
      <c r="I76" s="81"/>
      <c r="J76" s="27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40">
        <v>136</v>
      </c>
      <c r="AW76" s="31"/>
      <c r="AX76" s="31"/>
      <c r="AY76" s="31">
        <v>10</v>
      </c>
    </row>
    <row r="77" spans="2:51" s="32" customFormat="1" x14ac:dyDescent="0.3">
      <c r="B77" s="41" t="s">
        <v>154</v>
      </c>
      <c r="C77" s="42" t="s">
        <v>155</v>
      </c>
      <c r="D77" s="43" t="s">
        <v>110</v>
      </c>
      <c r="E77" s="44">
        <f t="shared" si="5"/>
        <v>116</v>
      </c>
      <c r="F77" s="45">
        <v>1955.1724137931033</v>
      </c>
      <c r="G77" s="46">
        <f t="shared" si="4"/>
        <v>226799.99999999997</v>
      </c>
      <c r="H77" s="81"/>
      <c r="I77" s="81"/>
      <c r="J77" s="27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40">
        <v>116</v>
      </c>
      <c r="AW77" s="31"/>
      <c r="AX77" s="31"/>
      <c r="AY77" s="31"/>
    </row>
    <row r="78" spans="2:51" s="32" customFormat="1" x14ac:dyDescent="0.3">
      <c r="B78" s="41" t="s">
        <v>156</v>
      </c>
      <c r="C78" s="42" t="s">
        <v>157</v>
      </c>
      <c r="D78" s="43" t="s">
        <v>110</v>
      </c>
      <c r="E78" s="44">
        <f t="shared" si="5"/>
        <v>47</v>
      </c>
      <c r="F78" s="45">
        <v>2948.9361702127662</v>
      </c>
      <c r="G78" s="46">
        <f t="shared" si="4"/>
        <v>138600</v>
      </c>
      <c r="H78" s="81"/>
      <c r="I78" s="81"/>
      <c r="J78" s="27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40">
        <v>47</v>
      </c>
      <c r="AW78" s="31"/>
      <c r="AX78" s="31"/>
      <c r="AY78" s="31"/>
    </row>
    <row r="79" spans="2:51" s="32" customFormat="1" x14ac:dyDescent="0.3">
      <c r="B79" s="41" t="s">
        <v>158</v>
      </c>
      <c r="C79" s="42" t="s">
        <v>159</v>
      </c>
      <c r="D79" s="43" t="s">
        <v>110</v>
      </c>
      <c r="E79" s="44">
        <f t="shared" si="5"/>
        <v>38</v>
      </c>
      <c r="F79" s="45">
        <v>30870</v>
      </c>
      <c r="G79" s="46">
        <f t="shared" si="4"/>
        <v>1173060</v>
      </c>
      <c r="H79" s="81"/>
      <c r="I79" s="81"/>
      <c r="J79" s="27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40">
        <v>38</v>
      </c>
      <c r="AW79" s="31"/>
      <c r="AX79" s="31"/>
      <c r="AY79" s="31"/>
    </row>
    <row r="80" spans="2:51" s="32" customFormat="1" x14ac:dyDescent="0.3">
      <c r="B80" s="41" t="s">
        <v>160</v>
      </c>
      <c r="C80" s="42" t="s">
        <v>161</v>
      </c>
      <c r="D80" s="43" t="s">
        <v>59</v>
      </c>
      <c r="E80" s="44">
        <f t="shared" si="5"/>
        <v>2</v>
      </c>
      <c r="F80" s="45">
        <v>81900</v>
      </c>
      <c r="G80" s="46">
        <f t="shared" si="4"/>
        <v>163800</v>
      </c>
      <c r="H80" s="81"/>
      <c r="I80" s="81"/>
      <c r="J80" s="27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40">
        <v>2</v>
      </c>
      <c r="AW80" s="31"/>
      <c r="AX80" s="31"/>
      <c r="AY80" s="31"/>
    </row>
    <row r="81" spans="2:51" s="32" customFormat="1" x14ac:dyDescent="0.3">
      <c r="B81" s="41" t="s">
        <v>162</v>
      </c>
      <c r="C81" s="42" t="s">
        <v>163</v>
      </c>
      <c r="D81" s="43" t="s">
        <v>84</v>
      </c>
      <c r="E81" s="44">
        <f t="shared" si="5"/>
        <v>3</v>
      </c>
      <c r="F81" s="45">
        <v>75600</v>
      </c>
      <c r="G81" s="46">
        <f t="shared" si="4"/>
        <v>226800</v>
      </c>
      <c r="H81" s="81"/>
      <c r="I81" s="81"/>
      <c r="J81" s="27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40">
        <v>3</v>
      </c>
      <c r="AW81" s="31"/>
      <c r="AX81" s="31"/>
      <c r="AY81" s="31"/>
    </row>
    <row r="82" spans="2:51" s="32" customFormat="1" x14ac:dyDescent="0.3">
      <c r="B82" s="41" t="s">
        <v>164</v>
      </c>
      <c r="C82" s="42" t="s">
        <v>165</v>
      </c>
      <c r="D82" s="43" t="s">
        <v>59</v>
      </c>
      <c r="E82" s="44">
        <f t="shared" si="5"/>
        <v>4</v>
      </c>
      <c r="F82" s="45">
        <v>78750</v>
      </c>
      <c r="G82" s="46">
        <f t="shared" si="4"/>
        <v>315000</v>
      </c>
      <c r="H82" s="81"/>
      <c r="I82" s="81"/>
      <c r="J82" s="27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40">
        <v>4</v>
      </c>
      <c r="AW82" s="31"/>
      <c r="AX82" s="31"/>
      <c r="AY82" s="31"/>
    </row>
    <row r="83" spans="2:51" s="32" customFormat="1" x14ac:dyDescent="0.3">
      <c r="B83" s="41"/>
      <c r="C83" s="42"/>
      <c r="D83" s="43"/>
      <c r="E83" s="44"/>
      <c r="F83" s="45"/>
      <c r="G83" s="46"/>
      <c r="H83" s="81"/>
      <c r="I83" s="81"/>
      <c r="J83" s="27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40">
        <v>0</v>
      </c>
      <c r="AW83" s="31"/>
      <c r="AX83" s="31"/>
      <c r="AY83" s="31"/>
    </row>
    <row r="84" spans="2:51" s="29" customFormat="1" ht="15.75" customHeight="1" x14ac:dyDescent="0.3">
      <c r="B84" s="51"/>
      <c r="C84" s="52" t="s">
        <v>166</v>
      </c>
      <c r="D84" s="53"/>
      <c r="E84" s="54"/>
      <c r="F84" s="53"/>
      <c r="G84" s="55">
        <f>SUM(G26:G83)</f>
        <v>83824057.571394965</v>
      </c>
      <c r="H84" s="82"/>
      <c r="I84" s="82"/>
      <c r="J84" s="27"/>
      <c r="K84" s="56"/>
      <c r="M84" s="56"/>
      <c r="N84" s="56"/>
      <c r="O84" s="57"/>
      <c r="AY84" s="58"/>
    </row>
    <row r="85" spans="2:51" s="29" customFormat="1" ht="15.75" customHeight="1" x14ac:dyDescent="0.3">
      <c r="B85" s="51"/>
      <c r="C85" s="52" t="s">
        <v>167</v>
      </c>
      <c r="D85" s="53"/>
      <c r="E85" s="59">
        <v>0.2</v>
      </c>
      <c r="F85" s="53"/>
      <c r="G85" s="55">
        <f>+E85*G84</f>
        <v>16764811.514278993</v>
      </c>
      <c r="H85" s="81"/>
      <c r="I85" s="81"/>
      <c r="J85" s="27"/>
      <c r="K85" s="56"/>
      <c r="L85" s="60"/>
      <c r="M85" s="56"/>
      <c r="N85" s="60"/>
      <c r="AY85" s="58"/>
    </row>
    <row r="86" spans="2:51" s="29" customFormat="1" ht="15.75" customHeight="1" x14ac:dyDescent="0.3">
      <c r="B86" s="51"/>
      <c r="C86" s="52" t="s">
        <v>168</v>
      </c>
      <c r="D86" s="53"/>
      <c r="E86" s="61">
        <v>0.05</v>
      </c>
      <c r="F86" s="62"/>
      <c r="G86" s="55">
        <f>+E86*G84</f>
        <v>4191202.8785697483</v>
      </c>
      <c r="H86" s="81"/>
      <c r="I86" s="81"/>
      <c r="J86" s="27"/>
      <c r="K86" s="56"/>
      <c r="L86" s="60"/>
      <c r="M86" s="56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0"/>
      <c r="AN86" s="60"/>
      <c r="AO86" s="60"/>
      <c r="AP86" s="60"/>
      <c r="AQ86" s="60"/>
      <c r="AR86" s="60"/>
      <c r="AS86" s="60"/>
      <c r="AT86" s="60"/>
      <c r="AU86" s="60"/>
      <c r="AV86" s="60"/>
      <c r="AW86" s="60"/>
      <c r="AX86" s="60"/>
      <c r="AY86" s="58"/>
    </row>
    <row r="87" spans="2:51" s="29" customFormat="1" ht="15.75" customHeight="1" x14ac:dyDescent="0.3">
      <c r="B87" s="63"/>
      <c r="C87" s="52" t="s">
        <v>169</v>
      </c>
      <c r="D87" s="52"/>
      <c r="E87" s="64"/>
      <c r="F87" s="52"/>
      <c r="G87" s="55">
        <f>SUM(G84:G86)</f>
        <v>104780071.96424371</v>
      </c>
      <c r="H87" s="81"/>
      <c r="I87" s="81"/>
      <c r="J87" s="27"/>
      <c r="K87" s="65"/>
      <c r="L87" s="60"/>
      <c r="M87" s="65"/>
      <c r="N87" s="60"/>
      <c r="O87" s="60"/>
      <c r="AY87" s="58"/>
    </row>
    <row r="88" spans="2:51" x14ac:dyDescent="0.3">
      <c r="B88" s="5"/>
      <c r="C88" s="18"/>
      <c r="D88" s="18"/>
      <c r="E88" s="19"/>
      <c r="F88" s="18"/>
      <c r="G88" s="18"/>
      <c r="J88" s="27"/>
      <c r="K88" s="65"/>
      <c r="L88" s="60"/>
      <c r="M88" s="65"/>
      <c r="N88" s="60"/>
      <c r="O88" s="60"/>
    </row>
    <row r="89" spans="2:51" x14ac:dyDescent="0.3">
      <c r="B89" s="5" t="s">
        <v>170</v>
      </c>
      <c r="C89" s="18"/>
      <c r="D89" s="18"/>
      <c r="E89" s="19"/>
      <c r="F89" s="103" t="s">
        <v>210</v>
      </c>
      <c r="G89" s="130">
        <f>+G87+'IVA-27Feb'!F39</f>
        <v>116568180.96424371</v>
      </c>
      <c r="J89" s="27"/>
      <c r="K89" s="65"/>
      <c r="L89" s="66"/>
      <c r="M89" s="66"/>
      <c r="N89" s="66"/>
    </row>
    <row r="90" spans="2:51" ht="12" customHeight="1" x14ac:dyDescent="0.3">
      <c r="B90" s="5"/>
      <c r="C90" s="18"/>
      <c r="D90" s="18"/>
      <c r="E90" s="19"/>
      <c r="F90" s="18"/>
      <c r="G90" s="67"/>
    </row>
    <row r="91" spans="2:51" ht="18.75" customHeight="1" x14ac:dyDescent="0.3">
      <c r="B91" s="68" t="s">
        <v>171</v>
      </c>
      <c r="C91" s="68"/>
      <c r="D91" s="68"/>
      <c r="E91" s="69"/>
      <c r="F91" s="68"/>
      <c r="G91" s="68"/>
      <c r="K91" s="70"/>
      <c r="L91" s="71"/>
      <c r="M91" s="71"/>
      <c r="N91" s="71"/>
    </row>
    <row r="92" spans="2:51" ht="18.75" customHeight="1" x14ac:dyDescent="0.3">
      <c r="B92" s="68" t="s">
        <v>172</v>
      </c>
      <c r="C92" s="68"/>
      <c r="D92" s="68"/>
      <c r="E92" s="69"/>
      <c r="F92" s="68"/>
      <c r="G92" s="68"/>
      <c r="K92" s="70"/>
      <c r="L92" s="71"/>
      <c r="M92" s="13"/>
      <c r="N92" s="13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</row>
    <row r="93" spans="2:51" ht="18.75" customHeight="1" x14ac:dyDescent="0.3">
      <c r="B93" s="68" t="s">
        <v>173</v>
      </c>
      <c r="C93" s="68"/>
      <c r="D93" s="68"/>
      <c r="E93" s="69"/>
      <c r="F93" s="68"/>
      <c r="G93" s="68"/>
      <c r="K93" s="70"/>
      <c r="L93" s="71"/>
      <c r="M93" s="72"/>
      <c r="N93" s="72"/>
    </row>
    <row r="94" spans="2:51" x14ac:dyDescent="0.3">
      <c r="B94" s="73"/>
      <c r="C94" s="73"/>
      <c r="D94" s="73"/>
      <c r="E94" s="74"/>
      <c r="F94" s="73"/>
      <c r="G94" s="73"/>
      <c r="K94" s="70"/>
      <c r="L94" s="71"/>
      <c r="M94" s="75"/>
      <c r="N94" s="75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/>
      <c r="AP94" s="70"/>
      <c r="AQ94" s="70"/>
      <c r="AR94" s="70"/>
      <c r="AS94" s="70"/>
      <c r="AT94" s="70"/>
      <c r="AU94" s="70"/>
      <c r="AV94" s="70"/>
      <c r="AW94" s="70"/>
      <c r="AX94" s="70"/>
    </row>
    <row r="95" spans="2:51" ht="24" customHeight="1" x14ac:dyDescent="0.3">
      <c r="B95" s="148" t="s">
        <v>174</v>
      </c>
      <c r="C95" s="148"/>
      <c r="D95" s="148"/>
      <c r="E95" s="148"/>
      <c r="F95" s="148"/>
      <c r="G95" s="148"/>
      <c r="K95" s="70"/>
      <c r="L95" s="71"/>
      <c r="M95" s="75"/>
      <c r="N95" s="75"/>
    </row>
    <row r="96" spans="2:51" ht="17.25" customHeight="1" x14ac:dyDescent="0.3">
      <c r="B96" s="144" t="s">
        <v>175</v>
      </c>
      <c r="C96" s="145"/>
      <c r="D96" s="145"/>
      <c r="E96" s="145"/>
      <c r="F96" s="145"/>
      <c r="G96" s="145"/>
      <c r="K96" s="70"/>
      <c r="L96" s="71"/>
    </row>
    <row r="97" spans="2:52" ht="17.25" customHeight="1" x14ac:dyDescent="0.3">
      <c r="B97" s="144" t="s">
        <v>176</v>
      </c>
      <c r="C97" s="145"/>
      <c r="D97" s="145"/>
      <c r="E97" s="145"/>
      <c r="F97" s="145"/>
      <c r="G97" s="145"/>
      <c r="K97" s="70"/>
      <c r="L97" s="71"/>
      <c r="M97" s="71"/>
      <c r="N97" s="71"/>
    </row>
    <row r="98" spans="2:52" ht="17.25" customHeight="1" x14ac:dyDescent="0.3">
      <c r="B98" s="144" t="s">
        <v>177</v>
      </c>
      <c r="C98" s="145"/>
      <c r="D98" s="145"/>
      <c r="E98" s="145"/>
      <c r="F98" s="145"/>
      <c r="G98" s="145"/>
      <c r="K98" s="70"/>
      <c r="L98" s="71"/>
      <c r="M98" s="76"/>
      <c r="N98" s="76"/>
    </row>
    <row r="99" spans="2:52" ht="17.25" customHeight="1" x14ac:dyDescent="0.3">
      <c r="B99" s="144" t="s">
        <v>186</v>
      </c>
      <c r="C99" s="145"/>
      <c r="D99" s="145"/>
      <c r="E99" s="145"/>
      <c r="F99" s="145"/>
      <c r="G99" s="145"/>
      <c r="K99" s="70"/>
      <c r="L99" s="71"/>
    </row>
    <row r="100" spans="2:52" x14ac:dyDescent="0.3">
      <c r="B100" s="144"/>
      <c r="C100" s="145"/>
      <c r="D100" s="145"/>
      <c r="E100" s="145"/>
      <c r="F100" s="145"/>
      <c r="G100" s="145"/>
    </row>
    <row r="101" spans="2:52" x14ac:dyDescent="0.3">
      <c r="B101" s="68" t="s">
        <v>178</v>
      </c>
    </row>
    <row r="102" spans="2:52" x14ac:dyDescent="0.3">
      <c r="K102" s="78"/>
      <c r="L102" s="75"/>
      <c r="M102" s="75"/>
      <c r="N102" s="75"/>
    </row>
    <row r="103" spans="2:52" s="2" customFormat="1" x14ac:dyDescent="0.3">
      <c r="B103" s="68"/>
      <c r="C103" s="79"/>
      <c r="D103" s="10"/>
      <c r="E103" s="11"/>
      <c r="F103" s="77"/>
      <c r="G103" s="77"/>
      <c r="H103" s="81"/>
      <c r="I103" s="81"/>
      <c r="J103" s="1"/>
      <c r="K103" s="78"/>
      <c r="L103" s="75"/>
      <c r="M103" s="75"/>
      <c r="N103" s="75"/>
      <c r="AZ103" s="4"/>
    </row>
    <row r="104" spans="2:52" s="2" customFormat="1" x14ac:dyDescent="0.3">
      <c r="B104" s="68" t="s">
        <v>179</v>
      </c>
      <c r="C104" s="79"/>
      <c r="D104" s="10"/>
      <c r="E104" s="11"/>
      <c r="F104" s="77"/>
      <c r="G104" s="77"/>
      <c r="H104" s="81"/>
      <c r="I104" s="81"/>
      <c r="J104" s="1"/>
      <c r="AZ104" s="4"/>
    </row>
    <row r="105" spans="2:52" s="2" customFormat="1" x14ac:dyDescent="0.3">
      <c r="B105" s="68"/>
      <c r="C105" s="79"/>
      <c r="D105" s="10"/>
      <c r="E105" s="11"/>
      <c r="F105" s="77"/>
      <c r="G105" s="3"/>
      <c r="H105" s="81"/>
      <c r="I105" s="81"/>
      <c r="J105" s="1"/>
      <c r="AZ105" s="4"/>
    </row>
    <row r="106" spans="2:52" s="2" customFormat="1" x14ac:dyDescent="0.3">
      <c r="B106" s="68"/>
      <c r="C106" s="79"/>
      <c r="D106" s="10"/>
      <c r="E106" s="11"/>
      <c r="F106" s="77"/>
      <c r="G106" s="3"/>
      <c r="H106" s="81"/>
      <c r="I106" s="81"/>
      <c r="J106" s="1"/>
      <c r="AZ106" s="4"/>
    </row>
    <row r="107" spans="2:52" s="2" customFormat="1" x14ac:dyDescent="0.3">
      <c r="B107" s="68"/>
      <c r="C107" s="79"/>
      <c r="D107" s="10"/>
      <c r="E107" s="11"/>
      <c r="F107" s="77"/>
      <c r="G107" s="3"/>
      <c r="H107" s="81"/>
      <c r="I107" s="81"/>
      <c r="J107" s="1"/>
      <c r="AZ107" s="4"/>
    </row>
    <row r="108" spans="2:52" s="2" customFormat="1" x14ac:dyDescent="0.3">
      <c r="B108" s="80" t="s">
        <v>180</v>
      </c>
      <c r="C108" s="79"/>
      <c r="D108" s="10"/>
      <c r="E108" s="11"/>
      <c r="F108" s="77"/>
      <c r="G108" s="3"/>
      <c r="H108" s="81"/>
      <c r="I108" s="81"/>
      <c r="J108" s="1"/>
      <c r="AZ108" s="4"/>
    </row>
    <row r="109" spans="2:52" s="2" customFormat="1" x14ac:dyDescent="0.3">
      <c r="B109" s="80" t="s">
        <v>181</v>
      </c>
      <c r="C109" s="79"/>
      <c r="D109" s="10"/>
      <c r="E109" s="11"/>
      <c r="F109" s="77"/>
      <c r="G109" s="3"/>
      <c r="H109" s="81"/>
      <c r="I109" s="81"/>
      <c r="J109" s="1"/>
      <c r="AZ109" s="4"/>
    </row>
    <row r="110" spans="2:52" s="2" customFormat="1" x14ac:dyDescent="0.3">
      <c r="B110" s="68" t="s">
        <v>182</v>
      </c>
      <c r="C110" s="79"/>
      <c r="D110" s="10"/>
      <c r="E110" s="11"/>
      <c r="F110" s="77"/>
      <c r="G110" s="3"/>
      <c r="H110" s="81"/>
      <c r="I110" s="81"/>
      <c r="J110" s="1"/>
      <c r="AZ110" s="4"/>
    </row>
    <row r="111" spans="2:52" s="2" customFormat="1" x14ac:dyDescent="0.3">
      <c r="B111" s="68" t="s">
        <v>183</v>
      </c>
      <c r="C111" s="79"/>
      <c r="D111" s="10"/>
      <c r="E111" s="11"/>
      <c r="F111" s="77"/>
      <c r="G111" s="3"/>
      <c r="H111" s="81"/>
      <c r="I111" s="81"/>
      <c r="J111" s="1"/>
      <c r="AZ111" s="4"/>
    </row>
    <row r="112" spans="2:52" s="2" customFormat="1" x14ac:dyDescent="0.3">
      <c r="B112" s="68" t="s">
        <v>184</v>
      </c>
      <c r="C112" s="79"/>
      <c r="D112" s="10"/>
      <c r="E112" s="11"/>
      <c r="F112" s="77"/>
      <c r="G112" s="3"/>
      <c r="H112" s="81"/>
      <c r="I112" s="81"/>
      <c r="J112" s="1"/>
      <c r="AZ112" s="4"/>
    </row>
  </sheetData>
  <mergeCells count="13">
    <mergeCell ref="AW22:AX22"/>
    <mergeCell ref="B3:G3"/>
    <mergeCell ref="C14:G15"/>
    <mergeCell ref="B19:G19"/>
    <mergeCell ref="K22:AI22"/>
    <mergeCell ref="AJ22:AU22"/>
    <mergeCell ref="B100:G100"/>
    <mergeCell ref="AQ23:AQ24"/>
    <mergeCell ref="B95:G95"/>
    <mergeCell ref="B96:G96"/>
    <mergeCell ref="B97:G97"/>
    <mergeCell ref="B98:G98"/>
    <mergeCell ref="B99:G99"/>
  </mergeCells>
  <pageMargins left="0.51181102362204722" right="0.51181102362204722" top="1.1023622047244095" bottom="0.55118110236220474" header="0.31496062992125984" footer="0.31496062992125984"/>
  <pageSetup paperSize="9" scale="64" orientation="portrait" r:id="rId1"/>
  <headerFooter>
    <oddHeader>&amp;RCT-008-19</oddHeader>
    <oddFooter>&amp;L&amp;"-,Cursiva"Redes eléctricas e iluminación - Pista de patinaje Caldas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FD6C0-2CE6-4557-986D-86D504151487}">
  <dimension ref="A1:BC65"/>
  <sheetViews>
    <sheetView view="pageBreakPreview" topLeftCell="A32" zoomScale="115" zoomScaleNormal="100" zoomScaleSheetLayoutView="115" workbookViewId="0">
      <selection activeCell="F41" sqref="F41"/>
    </sheetView>
  </sheetViews>
  <sheetFormatPr baseColWidth="10" defaultColWidth="11.453125" defaultRowHeight="14" x14ac:dyDescent="0.3"/>
  <cols>
    <col min="1" max="1" width="9" style="68" customWidth="1"/>
    <col min="2" max="2" width="52.1796875" style="10" customWidth="1"/>
    <col min="3" max="3" width="7.7265625" style="10" customWidth="1"/>
    <col min="4" max="4" width="10.1796875" style="11" customWidth="1"/>
    <col min="5" max="5" width="15.81640625" style="10" customWidth="1"/>
    <col min="6" max="6" width="15.81640625" style="77" customWidth="1"/>
    <col min="7" max="8" width="14.54296875" style="88" customWidth="1"/>
    <col min="9" max="9" width="13" style="89" bestFit="1" customWidth="1"/>
    <col min="10" max="10" width="11.1796875" style="89" customWidth="1"/>
    <col min="11" max="11" width="12" style="89" customWidth="1"/>
    <col min="12" max="12" width="1.54296875" style="89" customWidth="1"/>
    <col min="13" max="21" width="12.7265625" style="89" customWidth="1"/>
    <col min="22" max="22" width="1.81640625" style="89" customWidth="1"/>
    <col min="23" max="23" width="13.453125" style="89" bestFit="1" customWidth="1"/>
    <col min="24" max="28" width="12.7265625" style="89" customWidth="1"/>
    <col min="29" max="29" width="2.1796875" style="89" customWidth="1"/>
    <col min="30" max="48" width="12.7265625" style="89" customWidth="1"/>
    <col min="49" max="49" width="11.453125" style="89"/>
    <col min="50" max="50" width="15.453125" style="90" customWidth="1"/>
    <col min="51" max="51" width="14.7265625" style="91" customWidth="1"/>
    <col min="52" max="55" width="11.453125" style="91"/>
    <col min="56" max="16384" width="11.453125" style="4"/>
  </cols>
  <sheetData>
    <row r="1" spans="1:50" s="91" customFormat="1" x14ac:dyDescent="0.3">
      <c r="A1" s="84"/>
      <c r="B1" s="85"/>
      <c r="C1" s="85"/>
      <c r="D1" s="86"/>
      <c r="E1" s="85"/>
      <c r="F1" s="87"/>
      <c r="G1" s="88"/>
      <c r="H1" s="88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90"/>
    </row>
    <row r="2" spans="1:50" s="91" customFormat="1" x14ac:dyDescent="0.3">
      <c r="A2" s="84"/>
      <c r="B2" s="85"/>
      <c r="C2" s="85"/>
      <c r="D2" s="86"/>
      <c r="E2" s="85"/>
      <c r="F2" s="87"/>
      <c r="G2" s="88"/>
      <c r="H2" s="88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90"/>
    </row>
    <row r="3" spans="1:50" s="91" customFormat="1" ht="21.75" customHeight="1" x14ac:dyDescent="0.3">
      <c r="A3" s="163" t="s">
        <v>0</v>
      </c>
      <c r="B3" s="163"/>
      <c r="C3" s="163"/>
      <c r="D3" s="163"/>
      <c r="E3" s="163"/>
      <c r="F3" s="163"/>
      <c r="G3" s="88"/>
      <c r="H3" s="88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90"/>
    </row>
    <row r="4" spans="1:50" s="91" customFormat="1" x14ac:dyDescent="0.3">
      <c r="A4" s="93"/>
      <c r="B4" s="92"/>
      <c r="C4" s="92"/>
      <c r="D4" s="94"/>
      <c r="E4" s="92"/>
      <c r="F4" s="92"/>
      <c r="G4" s="88"/>
      <c r="H4" s="88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90"/>
    </row>
    <row r="5" spans="1:50" s="91" customFormat="1" x14ac:dyDescent="0.3">
      <c r="A5" s="95" t="s">
        <v>194</v>
      </c>
      <c r="B5" s="96"/>
      <c r="C5" s="85"/>
      <c r="D5" s="86"/>
      <c r="E5" s="85"/>
      <c r="F5" s="97"/>
      <c r="G5" s="88"/>
      <c r="H5" s="88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90"/>
    </row>
    <row r="6" spans="1:50" s="91" customFormat="1" x14ac:dyDescent="0.3">
      <c r="A6" s="98"/>
      <c r="B6" s="85"/>
      <c r="C6" s="85"/>
      <c r="D6" s="86"/>
      <c r="E6" s="85"/>
      <c r="F6" s="99"/>
      <c r="G6" s="88"/>
      <c r="H6" s="88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90"/>
    </row>
    <row r="7" spans="1:50" s="91" customFormat="1" x14ac:dyDescent="0.3">
      <c r="A7" s="95" t="s">
        <v>188</v>
      </c>
      <c r="B7" s="100"/>
      <c r="C7" s="85"/>
      <c r="D7" s="86"/>
      <c r="E7" s="85"/>
      <c r="F7" s="85"/>
      <c r="G7" s="88"/>
      <c r="H7" s="88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90"/>
    </row>
    <row r="8" spans="1:50" s="91" customFormat="1" x14ac:dyDescent="0.3">
      <c r="A8" s="93" t="s">
        <v>189</v>
      </c>
      <c r="B8" s="92"/>
      <c r="C8" s="85"/>
      <c r="D8" s="86"/>
      <c r="E8" s="85"/>
      <c r="F8" s="85"/>
      <c r="G8" s="88"/>
      <c r="H8" s="88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90"/>
    </row>
    <row r="9" spans="1:50" s="91" customFormat="1" x14ac:dyDescent="0.3">
      <c r="A9" s="95" t="s">
        <v>1</v>
      </c>
      <c r="B9" s="92"/>
      <c r="C9" s="85"/>
      <c r="D9" s="86"/>
      <c r="E9" s="85"/>
      <c r="F9" s="85"/>
      <c r="G9" s="88"/>
      <c r="H9" s="88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90"/>
    </row>
    <row r="10" spans="1:50" s="91" customFormat="1" x14ac:dyDescent="0.3">
      <c r="A10" s="95" t="s">
        <v>2</v>
      </c>
      <c r="B10" s="92"/>
      <c r="C10" s="85"/>
      <c r="D10" s="86"/>
      <c r="E10" s="85"/>
      <c r="F10" s="85"/>
      <c r="G10" s="88"/>
      <c r="H10" s="88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90"/>
    </row>
    <row r="11" spans="1:50" s="91" customFormat="1" x14ac:dyDescent="0.3">
      <c r="A11" s="95" t="s">
        <v>190</v>
      </c>
      <c r="B11" s="100"/>
      <c r="C11" s="85"/>
      <c r="D11" s="86"/>
      <c r="E11" s="85"/>
      <c r="F11" s="85"/>
      <c r="G11" s="88"/>
      <c r="H11" s="88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90"/>
    </row>
    <row r="12" spans="1:50" s="91" customFormat="1" x14ac:dyDescent="0.3">
      <c r="A12" s="95" t="s">
        <v>3</v>
      </c>
      <c r="B12" s="100"/>
      <c r="C12" s="85"/>
      <c r="D12" s="86"/>
      <c r="E12" s="85"/>
      <c r="F12" s="85"/>
      <c r="G12" s="88"/>
      <c r="H12" s="88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90"/>
    </row>
    <row r="13" spans="1:50" s="91" customFormat="1" x14ac:dyDescent="0.3">
      <c r="A13" s="95"/>
      <c r="B13" s="85"/>
      <c r="C13" s="85"/>
      <c r="D13" s="86"/>
      <c r="E13" s="85"/>
      <c r="F13" s="85"/>
      <c r="G13" s="88"/>
      <c r="H13" s="88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90"/>
    </row>
    <row r="14" spans="1:50" s="91" customFormat="1" x14ac:dyDescent="0.3">
      <c r="A14" s="93" t="s">
        <v>4</v>
      </c>
      <c r="B14" s="164" t="s">
        <v>191</v>
      </c>
      <c r="C14" s="164"/>
      <c r="D14" s="164"/>
      <c r="E14" s="164"/>
      <c r="F14" s="164"/>
      <c r="G14" s="88"/>
      <c r="H14" s="88"/>
      <c r="I14" s="89">
        <f>6*6</f>
        <v>36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90"/>
    </row>
    <row r="15" spans="1:50" s="91" customFormat="1" x14ac:dyDescent="0.3">
      <c r="A15" s="98"/>
      <c r="B15" s="164"/>
      <c r="C15" s="164"/>
      <c r="D15" s="164"/>
      <c r="E15" s="164"/>
      <c r="F15" s="164"/>
      <c r="G15" s="88"/>
      <c r="H15" s="88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90"/>
    </row>
    <row r="16" spans="1:50" s="91" customFormat="1" x14ac:dyDescent="0.3">
      <c r="A16" s="98"/>
      <c r="B16" s="85"/>
      <c r="C16" s="85"/>
      <c r="D16" s="86"/>
      <c r="E16" s="85"/>
      <c r="F16" s="85"/>
      <c r="G16" s="88"/>
      <c r="H16" s="88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90"/>
    </row>
    <row r="17" spans="1:55" s="91" customFormat="1" x14ac:dyDescent="0.3">
      <c r="A17" s="95" t="s">
        <v>5</v>
      </c>
      <c r="B17" s="85"/>
      <c r="C17" s="85"/>
      <c r="D17" s="86"/>
      <c r="E17" s="85"/>
      <c r="F17" s="85"/>
      <c r="G17" s="88"/>
      <c r="H17" s="88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101"/>
      <c r="AE17" s="101"/>
      <c r="AF17" s="101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90"/>
    </row>
    <row r="18" spans="1:55" s="91" customFormat="1" ht="11.25" customHeight="1" x14ac:dyDescent="0.3">
      <c r="A18" s="95"/>
      <c r="B18" s="85"/>
      <c r="C18" s="85"/>
      <c r="D18" s="86"/>
      <c r="E18" s="85"/>
      <c r="F18" s="85"/>
      <c r="G18" s="88"/>
      <c r="H18" s="88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90"/>
    </row>
    <row r="19" spans="1:55" s="91" customFormat="1" ht="20.25" customHeight="1" x14ac:dyDescent="0.3">
      <c r="A19" s="165" t="s">
        <v>6</v>
      </c>
      <c r="B19" s="166"/>
      <c r="C19" s="166"/>
      <c r="D19" s="166"/>
      <c r="E19" s="166"/>
      <c r="F19" s="166"/>
      <c r="G19" s="88"/>
      <c r="H19" s="88"/>
      <c r="I19" s="89"/>
      <c r="J19" s="89"/>
      <c r="K19" s="100"/>
      <c r="L19" s="100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90"/>
    </row>
    <row r="20" spans="1:55" s="91" customFormat="1" x14ac:dyDescent="0.3">
      <c r="A20" s="102"/>
      <c r="B20" s="103"/>
      <c r="C20" s="103"/>
      <c r="D20" s="104"/>
      <c r="E20" s="103"/>
      <c r="F20" s="103"/>
      <c r="G20" s="88"/>
      <c r="H20" s="88"/>
      <c r="I20" s="105">
        <v>1.2</v>
      </c>
      <c r="J20" s="100" t="s">
        <v>195</v>
      </c>
      <c r="K20" s="100"/>
      <c r="L20" s="100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>
        <f>2.45*2</f>
        <v>4.9000000000000004</v>
      </c>
      <c r="AF20" s="89"/>
      <c r="AG20" s="89"/>
      <c r="AH20" s="89" t="s">
        <v>7</v>
      </c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90"/>
    </row>
    <row r="21" spans="1:55" s="91" customFormat="1" ht="12" customHeight="1" x14ac:dyDescent="0.3">
      <c r="A21" s="93" t="s">
        <v>8</v>
      </c>
      <c r="B21" s="103"/>
      <c r="C21" s="103"/>
      <c r="D21" s="104"/>
      <c r="E21" s="85"/>
      <c r="F21" s="87"/>
      <c r="H21" s="97" t="s">
        <v>7</v>
      </c>
      <c r="I21" s="89">
        <v>2.5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>
        <v>2.7</v>
      </c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90"/>
    </row>
    <row r="22" spans="1:55" s="91" customFormat="1" ht="15" customHeight="1" x14ac:dyDescent="0.3">
      <c r="A22" s="93"/>
      <c r="B22" s="103"/>
      <c r="C22" s="103"/>
      <c r="D22" s="104"/>
      <c r="E22" s="103"/>
      <c r="F22" s="106"/>
      <c r="G22" s="88"/>
      <c r="H22" s="88"/>
      <c r="I22" s="167" t="s">
        <v>9</v>
      </c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9"/>
      <c r="AH22" s="161" t="s">
        <v>10</v>
      </c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70"/>
      <c r="AU22" s="161" t="s">
        <v>11</v>
      </c>
      <c r="AV22" s="162"/>
      <c r="AW22" s="108" t="s">
        <v>12</v>
      </c>
      <c r="AX22" s="109" t="s">
        <v>196</v>
      </c>
    </row>
    <row r="23" spans="1:55" s="29" customFormat="1" ht="12.75" customHeight="1" x14ac:dyDescent="0.3">
      <c r="A23" s="25" t="s">
        <v>13</v>
      </c>
      <c r="B23" s="25" t="s">
        <v>14</v>
      </c>
      <c r="C23" s="25" t="s">
        <v>15</v>
      </c>
      <c r="D23" s="26" t="s">
        <v>16</v>
      </c>
      <c r="E23" s="25" t="s">
        <v>17</v>
      </c>
      <c r="F23" s="25" t="s">
        <v>18</v>
      </c>
      <c r="G23" s="110"/>
      <c r="H23" s="110" t="s">
        <v>19</v>
      </c>
      <c r="I23" s="111" t="s">
        <v>20</v>
      </c>
      <c r="J23" s="109" t="s">
        <v>21</v>
      </c>
      <c r="K23" s="109" t="s">
        <v>22</v>
      </c>
      <c r="L23" s="109"/>
      <c r="M23" s="109" t="s">
        <v>23</v>
      </c>
      <c r="N23" s="109" t="s">
        <v>24</v>
      </c>
      <c r="O23" s="109" t="s">
        <v>25</v>
      </c>
      <c r="P23" s="109" t="s">
        <v>26</v>
      </c>
      <c r="Q23" s="109" t="s">
        <v>27</v>
      </c>
      <c r="R23" s="109" t="s">
        <v>28</v>
      </c>
      <c r="S23" s="109" t="s">
        <v>29</v>
      </c>
      <c r="T23" s="107" t="s">
        <v>30</v>
      </c>
      <c r="U23" s="109" t="s">
        <v>31</v>
      </c>
      <c r="V23" s="109"/>
      <c r="W23" s="109" t="s">
        <v>32</v>
      </c>
      <c r="X23" s="109" t="s">
        <v>33</v>
      </c>
      <c r="Y23" s="109" t="s">
        <v>34</v>
      </c>
      <c r="Z23" s="109" t="s">
        <v>35</v>
      </c>
      <c r="AA23" s="107" t="s">
        <v>36</v>
      </c>
      <c r="AB23" s="109" t="s">
        <v>37</v>
      </c>
      <c r="AC23" s="109"/>
      <c r="AD23" s="109" t="s">
        <v>38</v>
      </c>
      <c r="AE23" s="107" t="s">
        <v>39</v>
      </c>
      <c r="AF23" s="109" t="s">
        <v>40</v>
      </c>
      <c r="AG23" s="107" t="s">
        <v>41</v>
      </c>
      <c r="AH23" s="112" t="s">
        <v>42</v>
      </c>
      <c r="AI23" s="112" t="s">
        <v>43</v>
      </c>
      <c r="AJ23" s="112" t="s">
        <v>44</v>
      </c>
      <c r="AK23" s="112" t="s">
        <v>45</v>
      </c>
      <c r="AL23" s="112" t="s">
        <v>46</v>
      </c>
      <c r="AM23" s="112" t="s">
        <v>47</v>
      </c>
      <c r="AN23" s="109" t="s">
        <v>48</v>
      </c>
      <c r="AO23" s="173" t="s">
        <v>49</v>
      </c>
      <c r="AP23" s="109" t="s">
        <v>50</v>
      </c>
      <c r="AQ23" s="109" t="s">
        <v>51</v>
      </c>
      <c r="AR23" s="109" t="s">
        <v>52</v>
      </c>
      <c r="AS23" s="109" t="s">
        <v>53</v>
      </c>
      <c r="AT23" s="24" t="s">
        <v>185</v>
      </c>
      <c r="AU23" s="109"/>
      <c r="AV23" s="109"/>
      <c r="AW23" s="109"/>
      <c r="AX23" s="113"/>
      <c r="AY23" s="91"/>
      <c r="AZ23" s="113"/>
      <c r="BA23" s="113"/>
      <c r="BB23" s="113"/>
      <c r="BC23" s="113"/>
    </row>
    <row r="24" spans="1:55" s="29" customFormat="1" ht="16.5" customHeight="1" x14ac:dyDescent="0.3">
      <c r="A24" s="114"/>
      <c r="B24" s="115"/>
      <c r="C24" s="116"/>
      <c r="D24" s="117"/>
      <c r="E24" s="116"/>
      <c r="F24" s="116"/>
      <c r="G24" s="118"/>
      <c r="H24" s="118" t="s">
        <v>55</v>
      </c>
      <c r="I24" s="119">
        <f>6*4*$I$21</f>
        <v>60</v>
      </c>
      <c r="J24" s="119">
        <f>6.1*4*$I$21</f>
        <v>61</v>
      </c>
      <c r="K24" s="119"/>
      <c r="L24" s="119"/>
      <c r="M24" s="119">
        <f>(4.16*2+3.6*2)*$I$21</f>
        <v>38.799999999999997</v>
      </c>
      <c r="N24" s="119">
        <f>(4.16*2+3.1*2)*$I$21</f>
        <v>36.299999999999997</v>
      </c>
      <c r="O24" s="119">
        <f>(4.16*2+8*2)*$I$21</f>
        <v>60.8</v>
      </c>
      <c r="P24" s="119">
        <f>(4.25*2+4.33*2)*$I$21</f>
        <v>42.9</v>
      </c>
      <c r="Q24" s="119">
        <f>(4.05*2+4.33*2)*$I$21</f>
        <v>41.899999999999991</v>
      </c>
      <c r="R24" s="119">
        <f>(3.4*2+3.5*2)*$I$21</f>
        <v>34.5</v>
      </c>
      <c r="S24" s="119">
        <f>((1.3+3.5+2.42+0.3)*1+(2.42*2))*I21</f>
        <v>30.9</v>
      </c>
      <c r="T24" s="119">
        <f>(1.3*4+3.5*2)*$I$21</f>
        <v>30.5</v>
      </c>
      <c r="U24" s="119">
        <f>(4.23*2+3.22*2)*$I$21</f>
        <v>37.250000000000007</v>
      </c>
      <c r="V24" s="119"/>
      <c r="W24" s="119">
        <f>(3.81*2+4.27*2)*$I$21</f>
        <v>40.4</v>
      </c>
      <c r="X24" s="119">
        <f>(1.91*2+1.96*2)*$I$21</f>
        <v>19.350000000000001</v>
      </c>
      <c r="Y24" s="119">
        <f>(1.96*2+4.07*2)*$I$21</f>
        <v>30.150000000000002</v>
      </c>
      <c r="Z24" s="119">
        <f>(1.88*2+1.9*2)*$I$21</f>
        <v>18.899999999999999</v>
      </c>
      <c r="AA24" s="119">
        <f>(3.81*2+1.53*2)*$I$21</f>
        <v>26.7</v>
      </c>
      <c r="AB24" s="119">
        <f>(5.8*2+8.6*2)*$I$21</f>
        <v>72</v>
      </c>
      <c r="AC24" s="119"/>
      <c r="AD24" s="119">
        <f>(5.25*2+5.55*2)*$I$21</f>
        <v>54</v>
      </c>
      <c r="AE24" s="119">
        <f>(4.9*2+5.55*2)*$I$21</f>
        <v>52.25</v>
      </c>
      <c r="AF24" s="119">
        <f>(7.55*2+6.95*2)*$I$21</f>
        <v>72.5</v>
      </c>
      <c r="AG24" s="119"/>
      <c r="AH24" s="119">
        <f>(7.2*2+7.15*2)*$AH$21</f>
        <v>77.490000000000009</v>
      </c>
      <c r="AI24" s="119">
        <f>(7.2*2+6.15*2)*$AH$21</f>
        <v>72.090000000000018</v>
      </c>
      <c r="AJ24" s="119">
        <f>(9*2+3.95*2)*$AH$21</f>
        <v>69.930000000000007</v>
      </c>
      <c r="AK24" s="119">
        <f>(7.5*2+3.85*2)*$AH$21</f>
        <v>61.29</v>
      </c>
      <c r="AL24" s="119">
        <f>(7.5*2+4.05*2)*$AH$21</f>
        <v>62.370000000000005</v>
      </c>
      <c r="AM24" s="119">
        <f>(4.2+4.25+1.5+7.2+3)*2*$AH$21</f>
        <v>108.81</v>
      </c>
      <c r="AN24" s="119">
        <f>(7.45*2+3.7*2)*$AH$21</f>
        <v>60.210000000000008</v>
      </c>
      <c r="AO24" s="174"/>
      <c r="AP24" s="119">
        <f>(7.45*2+3.5*2)*$AH$21</f>
        <v>59.13</v>
      </c>
      <c r="AQ24" s="119">
        <f>(7.45*2+3.65*2)*$AH$21</f>
        <v>59.940000000000005</v>
      </c>
      <c r="AR24" s="119">
        <f>(5.4*2+6.95*2)*$AH$21</f>
        <v>66.690000000000012</v>
      </c>
      <c r="AS24" s="119">
        <f>(11.15*2+1.85*2)*$AH$21</f>
        <v>70.2</v>
      </c>
      <c r="AT24" s="119"/>
      <c r="AU24" s="119"/>
      <c r="AV24" s="119"/>
      <c r="AW24" s="119"/>
      <c r="AX24" s="113"/>
      <c r="AY24" s="113"/>
      <c r="AZ24" s="113"/>
      <c r="BA24" s="113"/>
      <c r="BB24" s="113"/>
      <c r="BC24" s="113"/>
    </row>
    <row r="25" spans="1:55" s="32" customFormat="1" ht="27" customHeight="1" x14ac:dyDescent="0.25">
      <c r="A25" s="41">
        <v>1</v>
      </c>
      <c r="B25" s="42" t="s">
        <v>197</v>
      </c>
      <c r="C25" s="43" t="s">
        <v>59</v>
      </c>
      <c r="D25" s="44">
        <f>+SUM(I25:AW25)</f>
        <v>2</v>
      </c>
      <c r="E25" s="46">
        <v>254117.64878339297</v>
      </c>
      <c r="F25" s="46">
        <f>+D25*E25</f>
        <v>508235.29756678594</v>
      </c>
      <c r="G25" s="120"/>
      <c r="H25" s="120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>
        <v>2</v>
      </c>
      <c r="AG25" s="119"/>
      <c r="AH25" s="119"/>
      <c r="AI25" s="119"/>
      <c r="AJ25" s="119"/>
      <c r="AK25" s="119"/>
      <c r="AL25" s="119"/>
      <c r="AM25" s="119"/>
      <c r="AN25" s="119"/>
      <c r="AO25" s="119"/>
      <c r="AP25" s="119"/>
      <c r="AQ25" s="119"/>
      <c r="AR25" s="119"/>
      <c r="AS25" s="119"/>
      <c r="AT25" s="119">
        <f>+[1]Directos!B29</f>
        <v>0</v>
      </c>
      <c r="AU25" s="119"/>
      <c r="AV25" s="119"/>
      <c r="AW25" s="119"/>
      <c r="AX25" s="121"/>
      <c r="AY25" s="122"/>
      <c r="AZ25" s="122"/>
      <c r="BA25" s="122"/>
      <c r="BB25" s="122"/>
      <c r="BC25" s="122"/>
    </row>
    <row r="26" spans="1:55" s="32" customFormat="1" ht="27" customHeight="1" x14ac:dyDescent="0.25">
      <c r="A26" s="41">
        <v>2</v>
      </c>
      <c r="B26" s="42" t="s">
        <v>198</v>
      </c>
      <c r="C26" s="43" t="s">
        <v>59</v>
      </c>
      <c r="D26" s="44">
        <f t="shared" ref="D26:D27" si="0">+SUM(I26:AW26)</f>
        <v>3</v>
      </c>
      <c r="E26" s="46">
        <v>228705.88390505366</v>
      </c>
      <c r="F26" s="46">
        <f t="shared" ref="F26:F36" si="1">+D26*E26</f>
        <v>686117.65171516105</v>
      </c>
      <c r="G26" s="120"/>
      <c r="H26" s="120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>
        <v>3</v>
      </c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19"/>
      <c r="AS26" s="119"/>
      <c r="AT26" s="119">
        <f>+[1]Directos!B30</f>
        <v>0</v>
      </c>
      <c r="AU26" s="119"/>
      <c r="AV26" s="119"/>
      <c r="AW26" s="119"/>
      <c r="AX26" s="121"/>
      <c r="AY26" s="122"/>
      <c r="AZ26" s="122"/>
      <c r="BA26" s="122"/>
      <c r="BB26" s="122"/>
      <c r="BC26" s="122"/>
    </row>
    <row r="27" spans="1:55" s="32" customFormat="1" ht="27" customHeight="1" x14ac:dyDescent="0.25">
      <c r="A27" s="41">
        <v>3</v>
      </c>
      <c r="B27" s="42" t="s">
        <v>199</v>
      </c>
      <c r="C27" s="43" t="s">
        <v>59</v>
      </c>
      <c r="D27" s="44">
        <f t="shared" si="0"/>
        <v>1</v>
      </c>
      <c r="E27" s="46">
        <v>457411.76781010733</v>
      </c>
      <c r="F27" s="46">
        <f t="shared" si="1"/>
        <v>457411.76781010733</v>
      </c>
      <c r="G27" s="120"/>
      <c r="H27" s="120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>
        <v>1</v>
      </c>
      <c r="AG27" s="119"/>
      <c r="AH27" s="119"/>
      <c r="AI27" s="119"/>
      <c r="AJ27" s="119"/>
      <c r="AK27" s="119"/>
      <c r="AL27" s="119"/>
      <c r="AM27" s="119"/>
      <c r="AN27" s="119"/>
      <c r="AO27" s="119"/>
      <c r="AP27" s="119"/>
      <c r="AQ27" s="119"/>
      <c r="AR27" s="119"/>
      <c r="AS27" s="119"/>
      <c r="AT27" s="119">
        <f>+[1]Directos!B31</f>
        <v>0</v>
      </c>
      <c r="AU27" s="119"/>
      <c r="AV27" s="119"/>
      <c r="AW27" s="119"/>
      <c r="AX27" s="121"/>
      <c r="AY27" s="122"/>
      <c r="AZ27" s="122"/>
      <c r="BA27" s="122"/>
      <c r="BB27" s="122"/>
      <c r="BC27" s="122"/>
    </row>
    <row r="28" spans="1:55" s="32" customFormat="1" ht="23.25" customHeight="1" x14ac:dyDescent="0.25">
      <c r="A28" s="41">
        <v>4</v>
      </c>
      <c r="B28" s="42" t="s">
        <v>200</v>
      </c>
      <c r="C28" s="43" t="s">
        <v>59</v>
      </c>
      <c r="D28" s="44">
        <f>+SUM(I28:AW28)</f>
        <v>1</v>
      </c>
      <c r="E28" s="46">
        <v>226080.00153429198</v>
      </c>
      <c r="F28" s="46">
        <f t="shared" si="1"/>
        <v>226080.00153429198</v>
      </c>
      <c r="G28" s="120"/>
      <c r="H28" s="120"/>
      <c r="I28" s="119">
        <v>1</v>
      </c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>
        <f>+[1]Directos!B34</f>
        <v>0</v>
      </c>
      <c r="AU28" s="119"/>
      <c r="AV28" s="119"/>
      <c r="AW28" s="119"/>
      <c r="AX28" s="121"/>
      <c r="AY28" s="122"/>
      <c r="AZ28" s="122"/>
      <c r="BA28" s="122"/>
      <c r="BB28" s="122"/>
      <c r="BC28" s="122"/>
    </row>
    <row r="29" spans="1:55" s="32" customFormat="1" ht="29.25" customHeight="1" x14ac:dyDescent="0.25">
      <c r="A29" s="41">
        <v>5</v>
      </c>
      <c r="B29" s="42" t="s">
        <v>201</v>
      </c>
      <c r="C29" s="43" t="s">
        <v>59</v>
      </c>
      <c r="D29" s="44">
        <f>+SUM(I29:AW29)</f>
        <v>1</v>
      </c>
      <c r="E29" s="46">
        <v>395640.00268501096</v>
      </c>
      <c r="F29" s="46">
        <f t="shared" si="1"/>
        <v>395640.00268501096</v>
      </c>
      <c r="G29" s="120"/>
      <c r="H29" s="120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>
        <v>1</v>
      </c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>
        <f>+[1]Directos!B35</f>
        <v>0</v>
      </c>
      <c r="AU29" s="119"/>
      <c r="AV29" s="119"/>
      <c r="AW29" s="119"/>
      <c r="AX29" s="121"/>
      <c r="AY29" s="122"/>
      <c r="AZ29" s="122"/>
      <c r="BA29" s="122"/>
      <c r="BB29" s="122"/>
      <c r="BC29" s="122"/>
    </row>
    <row r="30" spans="1:55" s="32" customFormat="1" ht="30" customHeight="1" x14ac:dyDescent="0.25">
      <c r="A30" s="41">
        <v>6</v>
      </c>
      <c r="B30" s="42" t="s">
        <v>202</v>
      </c>
      <c r="C30" s="43" t="s">
        <v>84</v>
      </c>
      <c r="D30" s="44">
        <f>+SUM(I30:AW30)</f>
        <v>15</v>
      </c>
      <c r="E30" s="46">
        <v>58605.882750670004</v>
      </c>
      <c r="F30" s="46">
        <f t="shared" si="1"/>
        <v>879088.2412600501</v>
      </c>
      <c r="G30" s="120"/>
      <c r="H30" s="120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23">
        <f>+[1]Directos!B53</f>
        <v>15</v>
      </c>
      <c r="AU30" s="119"/>
      <c r="AV30" s="119"/>
      <c r="AW30" s="119"/>
      <c r="AX30" s="121"/>
      <c r="AY30" s="122"/>
      <c r="AZ30" s="122"/>
      <c r="BA30" s="122"/>
      <c r="BB30" s="122"/>
      <c r="BC30" s="122"/>
    </row>
    <row r="31" spans="1:55" s="32" customFormat="1" ht="30" customHeight="1" x14ac:dyDescent="0.25">
      <c r="A31" s="41">
        <v>7</v>
      </c>
      <c r="B31" s="42" t="s">
        <v>203</v>
      </c>
      <c r="C31" s="43" t="s">
        <v>84</v>
      </c>
      <c r="D31" s="44">
        <f>+SUM(I31:AW31)</f>
        <v>18</v>
      </c>
      <c r="E31" s="46">
        <v>59294.11804945836</v>
      </c>
      <c r="F31" s="46">
        <f t="shared" si="1"/>
        <v>1067294.1248902504</v>
      </c>
      <c r="G31" s="120"/>
      <c r="H31" s="120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>
        <f>1.8*4*2.5</f>
        <v>18</v>
      </c>
      <c r="AP31" s="122"/>
      <c r="AQ31" s="119"/>
      <c r="AR31" s="119"/>
      <c r="AS31" s="119"/>
      <c r="AT31" s="123">
        <f>+[1]Directos!B54</f>
        <v>0</v>
      </c>
      <c r="AU31" s="119"/>
      <c r="AV31" s="119"/>
      <c r="AW31" s="119"/>
      <c r="AX31" s="121"/>
      <c r="AY31" s="122"/>
      <c r="AZ31" s="122"/>
      <c r="BA31" s="122"/>
      <c r="BB31" s="122"/>
      <c r="BC31" s="122"/>
    </row>
    <row r="32" spans="1:55" s="32" customFormat="1" ht="26" x14ac:dyDescent="0.25">
      <c r="A32" s="41">
        <v>8</v>
      </c>
      <c r="B32" s="42" t="s">
        <v>137</v>
      </c>
      <c r="C32" s="43" t="s">
        <v>59</v>
      </c>
      <c r="D32" s="44">
        <f>+SUM(I32:AW32)</f>
        <v>16</v>
      </c>
      <c r="E32" s="46">
        <v>190588.23658754473</v>
      </c>
      <c r="F32" s="46">
        <f t="shared" si="1"/>
        <v>3049411.7854007157</v>
      </c>
      <c r="G32" s="120"/>
      <c r="H32" s="120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23">
        <f>+[1]Directos!B75</f>
        <v>0</v>
      </c>
      <c r="AU32" s="119"/>
      <c r="AV32" s="119"/>
      <c r="AW32" s="119">
        <f>+COUNT(I23:AS24)/2+0.5</f>
        <v>16</v>
      </c>
      <c r="AX32" s="121"/>
      <c r="AY32" s="122"/>
      <c r="AZ32" s="122"/>
      <c r="BA32" s="122"/>
      <c r="BB32" s="122"/>
      <c r="BC32" s="122"/>
    </row>
    <row r="33" spans="1:55" s="32" customFormat="1" ht="26" x14ac:dyDescent="0.25">
      <c r="A33" s="41">
        <v>9</v>
      </c>
      <c r="B33" s="42" t="s">
        <v>204</v>
      </c>
      <c r="C33" s="43" t="s">
        <v>110</v>
      </c>
      <c r="D33" s="44">
        <v>36</v>
      </c>
      <c r="E33" s="46">
        <v>16310.117757747441</v>
      </c>
      <c r="F33" s="46">
        <f t="shared" si="1"/>
        <v>587164.23927890789</v>
      </c>
      <c r="G33" s="120"/>
      <c r="H33" s="120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23">
        <f>+[1]Directos!B76</f>
        <v>0</v>
      </c>
      <c r="AU33" s="119"/>
      <c r="AV33" s="119"/>
      <c r="AW33" s="119"/>
      <c r="AX33" s="121"/>
      <c r="AY33" s="122"/>
      <c r="AZ33" s="122"/>
      <c r="BA33" s="122"/>
      <c r="BB33" s="122"/>
      <c r="BC33" s="122"/>
    </row>
    <row r="34" spans="1:55" s="32" customFormat="1" ht="26" x14ac:dyDescent="0.25">
      <c r="A34" s="41">
        <v>10</v>
      </c>
      <c r="B34" s="42" t="s">
        <v>205</v>
      </c>
      <c r="C34" s="43" t="s">
        <v>110</v>
      </c>
      <c r="D34" s="44">
        <v>24</v>
      </c>
      <c r="E34" s="46">
        <v>19982.117782667465</v>
      </c>
      <c r="F34" s="46">
        <f t="shared" si="1"/>
        <v>479570.82678401913</v>
      </c>
      <c r="G34" s="120"/>
      <c r="H34" s="120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19"/>
      <c r="AT34" s="123">
        <f>+[1]Directos!B77</f>
        <v>0</v>
      </c>
      <c r="AU34" s="119"/>
      <c r="AV34" s="119"/>
      <c r="AW34" s="119"/>
      <c r="AX34" s="121"/>
      <c r="AY34" s="122"/>
      <c r="AZ34" s="122"/>
      <c r="BA34" s="122"/>
      <c r="BB34" s="122"/>
      <c r="BC34" s="122"/>
    </row>
    <row r="35" spans="1:55" s="32" customFormat="1" ht="26" x14ac:dyDescent="0.25">
      <c r="A35" s="41">
        <v>11</v>
      </c>
      <c r="B35" s="42" t="s">
        <v>206</v>
      </c>
      <c r="C35" s="43" t="s">
        <v>59</v>
      </c>
      <c r="D35" s="44">
        <v>15</v>
      </c>
      <c r="E35" s="46">
        <v>23654.117807587496</v>
      </c>
      <c r="F35" s="46">
        <f t="shared" si="1"/>
        <v>354811.76711381244</v>
      </c>
      <c r="G35" s="120"/>
      <c r="H35" s="120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23">
        <f>+[1]Directos!B78</f>
        <v>0</v>
      </c>
      <c r="AU35" s="119"/>
      <c r="AV35" s="119"/>
      <c r="AW35" s="119"/>
      <c r="AX35" s="121"/>
      <c r="AY35" s="122"/>
      <c r="AZ35" s="122"/>
      <c r="BA35" s="122"/>
      <c r="BB35" s="122"/>
      <c r="BC35" s="122"/>
    </row>
    <row r="36" spans="1:55" s="32" customFormat="1" ht="26" x14ac:dyDescent="0.25">
      <c r="A36" s="41">
        <v>12</v>
      </c>
      <c r="B36" s="42" t="s">
        <v>207</v>
      </c>
      <c r="C36" s="43" t="s">
        <v>110</v>
      </c>
      <c r="D36" s="44">
        <v>100</v>
      </c>
      <c r="E36" s="46">
        <v>12151.482435407212</v>
      </c>
      <c r="F36" s="46">
        <f t="shared" si="1"/>
        <v>1215148.2435407212</v>
      </c>
      <c r="G36" s="120"/>
      <c r="H36" s="120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19"/>
      <c r="AR36" s="119"/>
      <c r="AS36" s="119"/>
      <c r="AT36" s="123">
        <f>+[1]Directos!B79</f>
        <v>0</v>
      </c>
      <c r="AU36" s="119"/>
      <c r="AV36" s="119"/>
      <c r="AW36" s="119"/>
      <c r="AX36" s="121"/>
      <c r="AY36" s="122"/>
      <c r="AZ36" s="122"/>
      <c r="BA36" s="122"/>
      <c r="BB36" s="122"/>
      <c r="BC36" s="122"/>
    </row>
    <row r="37" spans="1:55" s="29" customFormat="1" ht="15.75" customHeight="1" x14ac:dyDescent="0.3">
      <c r="A37" s="41"/>
      <c r="B37" s="52" t="s">
        <v>166</v>
      </c>
      <c r="C37" s="53"/>
      <c r="D37" s="54"/>
      <c r="E37" s="53"/>
      <c r="F37" s="55">
        <f>SUM(F25:F36)</f>
        <v>9905973.9495798349</v>
      </c>
      <c r="G37" s="110"/>
      <c r="H37" s="110"/>
      <c r="I37" s="124"/>
      <c r="J37" s="113"/>
      <c r="K37" s="124"/>
      <c r="L37" s="124"/>
      <c r="M37" s="125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26"/>
      <c r="AX37" s="121"/>
      <c r="AY37" s="113"/>
      <c r="AZ37" s="113"/>
      <c r="BA37" s="113"/>
      <c r="BB37" s="113"/>
      <c r="BC37" s="113"/>
    </row>
    <row r="38" spans="1:55" s="29" customFormat="1" ht="15.75" customHeight="1" x14ac:dyDescent="0.3">
      <c r="A38" s="51"/>
      <c r="B38" s="127" t="s">
        <v>208</v>
      </c>
      <c r="C38" s="53"/>
      <c r="E38" s="53"/>
      <c r="F38" s="55">
        <f>+F37*0.19</f>
        <v>1882135.0504201686</v>
      </c>
      <c r="G38" s="110"/>
      <c r="H38" s="110"/>
      <c r="I38" s="124"/>
      <c r="J38" s="128"/>
      <c r="K38" s="124"/>
      <c r="L38" s="128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26"/>
      <c r="AX38" s="121"/>
      <c r="AY38" s="113"/>
      <c r="AZ38" s="113"/>
      <c r="BA38" s="113"/>
      <c r="BB38" s="113"/>
      <c r="BC38" s="113"/>
    </row>
    <row r="39" spans="1:55" s="29" customFormat="1" ht="15.75" customHeight="1" x14ac:dyDescent="0.3">
      <c r="A39" s="63"/>
      <c r="B39" s="52" t="s">
        <v>169</v>
      </c>
      <c r="C39" s="52"/>
      <c r="D39" s="64"/>
      <c r="E39" s="52"/>
      <c r="F39" s="55">
        <f>SUM(F37:F38)</f>
        <v>11788109.000000004</v>
      </c>
      <c r="G39" s="110"/>
      <c r="H39" s="110"/>
      <c r="I39" s="129"/>
      <c r="J39" s="128"/>
      <c r="K39" s="129"/>
      <c r="L39" s="128"/>
      <c r="M39" s="128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  <c r="AW39" s="126"/>
      <c r="AX39" s="121"/>
      <c r="AY39" s="113"/>
      <c r="AZ39" s="113"/>
      <c r="BA39" s="113"/>
      <c r="BB39" s="113"/>
      <c r="BC39" s="113"/>
    </row>
    <row r="40" spans="1:55" s="91" customFormat="1" x14ac:dyDescent="0.3">
      <c r="A40" s="93"/>
      <c r="B40" s="103"/>
      <c r="C40" s="103"/>
      <c r="D40" s="104"/>
      <c r="E40" s="103"/>
      <c r="F40" s="103"/>
      <c r="G40" s="110"/>
      <c r="H40" s="110"/>
      <c r="I40" s="129"/>
      <c r="J40" s="128"/>
      <c r="K40" s="129"/>
      <c r="L40" s="128"/>
      <c r="M40" s="128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121"/>
    </row>
    <row r="41" spans="1:55" s="91" customFormat="1" x14ac:dyDescent="0.3">
      <c r="A41" s="93" t="s">
        <v>170</v>
      </c>
      <c r="B41" s="103"/>
      <c r="C41" s="103"/>
      <c r="D41" s="104"/>
      <c r="E41" s="103" t="s">
        <v>210</v>
      </c>
      <c r="F41" s="130">
        <f>+F39+'AU-27Feb'!G87</f>
        <v>116568180.96424371</v>
      </c>
      <c r="G41" s="88"/>
      <c r="H41" s="88"/>
      <c r="I41" s="129"/>
      <c r="J41" s="131"/>
      <c r="K41" s="131"/>
      <c r="L41" s="131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121"/>
    </row>
    <row r="42" spans="1:55" s="91" customFormat="1" ht="12" customHeight="1" x14ac:dyDescent="0.3">
      <c r="A42" s="93"/>
      <c r="B42" s="103"/>
      <c r="C42" s="103"/>
      <c r="D42" s="104"/>
      <c r="E42" s="103"/>
      <c r="F42" s="132"/>
      <c r="G42" s="88"/>
      <c r="H42" s="88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121"/>
    </row>
    <row r="43" spans="1:55" s="91" customFormat="1" ht="18.75" customHeight="1" x14ac:dyDescent="0.3">
      <c r="A43" s="84" t="s">
        <v>171</v>
      </c>
      <c r="B43" s="84"/>
      <c r="C43" s="84"/>
      <c r="D43" s="133"/>
      <c r="E43" s="84"/>
      <c r="F43" s="84"/>
      <c r="G43" s="88"/>
      <c r="H43" s="88"/>
      <c r="I43" s="134"/>
      <c r="J43" s="135"/>
      <c r="K43" s="135"/>
      <c r="L43" s="135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121"/>
    </row>
    <row r="44" spans="1:55" s="91" customFormat="1" ht="18.75" customHeight="1" x14ac:dyDescent="0.3">
      <c r="A44" s="84" t="s">
        <v>172</v>
      </c>
      <c r="B44" s="84"/>
      <c r="C44" s="84"/>
      <c r="D44" s="133"/>
      <c r="E44" s="84"/>
      <c r="F44" s="84"/>
      <c r="G44" s="88"/>
      <c r="H44" s="88"/>
      <c r="I44" s="134"/>
      <c r="J44" s="135"/>
      <c r="K44" s="98"/>
      <c r="L44" s="98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  <c r="AK44" s="135"/>
      <c r="AL44" s="135"/>
      <c r="AM44" s="135"/>
      <c r="AN44" s="135"/>
      <c r="AO44" s="135"/>
      <c r="AP44" s="135"/>
      <c r="AQ44" s="135"/>
      <c r="AR44" s="135"/>
      <c r="AS44" s="135"/>
      <c r="AT44" s="135"/>
      <c r="AU44" s="135"/>
      <c r="AV44" s="135"/>
      <c r="AW44" s="89"/>
      <c r="AX44" s="121"/>
    </row>
    <row r="45" spans="1:55" s="91" customFormat="1" ht="18.75" customHeight="1" x14ac:dyDescent="0.3">
      <c r="A45" s="84" t="s">
        <v>209</v>
      </c>
      <c r="B45" s="84"/>
      <c r="C45" s="84"/>
      <c r="D45" s="133"/>
      <c r="E45" s="84"/>
      <c r="F45" s="84"/>
      <c r="G45" s="88"/>
      <c r="H45" s="88"/>
      <c r="I45" s="134"/>
      <c r="J45" s="135"/>
      <c r="K45" s="136"/>
      <c r="L45" s="136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121"/>
    </row>
    <row r="46" spans="1:55" s="91" customFormat="1" x14ac:dyDescent="0.3">
      <c r="A46" s="137"/>
      <c r="B46" s="137"/>
      <c r="C46" s="137"/>
      <c r="D46" s="138"/>
      <c r="E46" s="137"/>
      <c r="F46" s="137"/>
      <c r="G46" s="88"/>
      <c r="H46" s="88"/>
      <c r="I46" s="134"/>
      <c r="J46" s="135"/>
      <c r="K46" s="139"/>
      <c r="L46" s="139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89"/>
      <c r="AX46" s="90"/>
    </row>
    <row r="47" spans="1:55" s="91" customFormat="1" ht="24" customHeight="1" x14ac:dyDescent="0.3">
      <c r="A47" s="175" t="s">
        <v>174</v>
      </c>
      <c r="B47" s="175"/>
      <c r="C47" s="175"/>
      <c r="D47" s="175"/>
      <c r="E47" s="175"/>
      <c r="F47" s="175"/>
      <c r="G47" s="88"/>
      <c r="H47" s="88"/>
      <c r="I47" s="134"/>
      <c r="J47" s="135"/>
      <c r="K47" s="139"/>
      <c r="L47" s="13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90"/>
    </row>
    <row r="48" spans="1:55" s="91" customFormat="1" ht="17.25" customHeight="1" x14ac:dyDescent="0.3">
      <c r="A48" s="171" t="s">
        <v>175</v>
      </c>
      <c r="B48" s="172"/>
      <c r="C48" s="172"/>
      <c r="D48" s="172"/>
      <c r="E48" s="172"/>
      <c r="F48" s="172"/>
      <c r="G48" s="88"/>
      <c r="H48" s="88"/>
      <c r="I48" s="134"/>
      <c r="J48" s="135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90"/>
    </row>
    <row r="49" spans="1:50" s="91" customFormat="1" ht="17.25" customHeight="1" x14ac:dyDescent="0.3">
      <c r="A49" s="171" t="s">
        <v>176</v>
      </c>
      <c r="B49" s="172"/>
      <c r="C49" s="172"/>
      <c r="D49" s="172"/>
      <c r="E49" s="172"/>
      <c r="F49" s="172"/>
      <c r="G49" s="88"/>
      <c r="H49" s="88"/>
      <c r="I49" s="134"/>
      <c r="J49" s="135"/>
      <c r="K49" s="135"/>
      <c r="L49" s="135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90"/>
    </row>
    <row r="50" spans="1:50" s="91" customFormat="1" ht="17.25" customHeight="1" x14ac:dyDescent="0.3">
      <c r="A50" s="171" t="s">
        <v>177</v>
      </c>
      <c r="B50" s="172"/>
      <c r="C50" s="172"/>
      <c r="D50" s="172"/>
      <c r="E50" s="172"/>
      <c r="F50" s="172"/>
      <c r="G50" s="88"/>
      <c r="H50" s="88"/>
      <c r="I50" s="134"/>
      <c r="J50" s="135"/>
      <c r="K50" s="140"/>
      <c r="L50" s="140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90"/>
    </row>
    <row r="51" spans="1:50" s="91" customFormat="1" ht="17.25" customHeight="1" x14ac:dyDescent="0.3">
      <c r="A51" s="171" t="s">
        <v>186</v>
      </c>
      <c r="B51" s="172"/>
      <c r="C51" s="172"/>
      <c r="D51" s="172"/>
      <c r="E51" s="172"/>
      <c r="F51" s="172"/>
      <c r="G51" s="88"/>
      <c r="H51" s="88"/>
      <c r="I51" s="134"/>
      <c r="J51" s="135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90"/>
    </row>
    <row r="52" spans="1:50" s="91" customFormat="1" x14ac:dyDescent="0.3">
      <c r="A52" s="171"/>
      <c r="B52" s="172"/>
      <c r="C52" s="172"/>
      <c r="D52" s="172"/>
      <c r="E52" s="172"/>
      <c r="F52" s="172"/>
      <c r="G52" s="88"/>
      <c r="H52" s="88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90"/>
    </row>
    <row r="53" spans="1:50" s="91" customFormat="1" x14ac:dyDescent="0.3">
      <c r="A53" s="84" t="s">
        <v>178</v>
      </c>
      <c r="B53" s="85"/>
      <c r="C53" s="85"/>
      <c r="D53" s="86"/>
      <c r="E53" s="85"/>
      <c r="F53" s="87"/>
      <c r="G53" s="88"/>
      <c r="H53" s="88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90"/>
    </row>
    <row r="54" spans="1:50" s="91" customFormat="1" x14ac:dyDescent="0.3">
      <c r="A54" s="84"/>
      <c r="B54" s="85"/>
      <c r="C54" s="85"/>
      <c r="D54" s="86"/>
      <c r="E54" s="85"/>
      <c r="F54" s="87"/>
      <c r="G54" s="88"/>
      <c r="H54" s="88"/>
      <c r="I54" s="141"/>
      <c r="J54" s="139"/>
      <c r="K54" s="139"/>
      <c r="L54" s="13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90"/>
    </row>
    <row r="55" spans="1:50" s="91" customFormat="1" x14ac:dyDescent="0.3">
      <c r="A55" s="84"/>
      <c r="B55" s="142"/>
      <c r="C55" s="85"/>
      <c r="D55" s="86"/>
      <c r="E55" s="87"/>
      <c r="F55" s="87"/>
      <c r="G55" s="88"/>
      <c r="H55" s="88"/>
      <c r="I55" s="141"/>
      <c r="J55" s="139"/>
      <c r="K55" s="139"/>
      <c r="L55" s="13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V55" s="89"/>
      <c r="AW55" s="89"/>
      <c r="AX55" s="90"/>
    </row>
    <row r="56" spans="1:50" s="91" customFormat="1" x14ac:dyDescent="0.3">
      <c r="A56" s="84" t="s">
        <v>179</v>
      </c>
      <c r="B56" s="142"/>
      <c r="C56" s="85"/>
      <c r="D56" s="86"/>
      <c r="E56" s="87"/>
      <c r="F56" s="87"/>
      <c r="G56" s="88"/>
      <c r="H56" s="88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90"/>
    </row>
    <row r="57" spans="1:50" s="91" customFormat="1" x14ac:dyDescent="0.3">
      <c r="A57" s="84"/>
      <c r="B57" s="142"/>
      <c r="C57" s="85"/>
      <c r="D57" s="86"/>
      <c r="E57" s="87"/>
      <c r="F57" s="90"/>
      <c r="G57" s="88"/>
      <c r="H57" s="88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90"/>
    </row>
    <row r="58" spans="1:50" s="91" customFormat="1" x14ac:dyDescent="0.3">
      <c r="A58" s="84"/>
      <c r="B58" s="142"/>
      <c r="C58" s="85"/>
      <c r="D58" s="86"/>
      <c r="E58" s="87"/>
      <c r="F58" s="90"/>
      <c r="G58" s="88"/>
      <c r="H58" s="88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90"/>
    </row>
    <row r="59" spans="1:50" s="91" customFormat="1" x14ac:dyDescent="0.3">
      <c r="A59" s="84"/>
      <c r="B59" s="142"/>
      <c r="C59" s="85"/>
      <c r="D59" s="86"/>
      <c r="E59" s="87"/>
      <c r="F59" s="90"/>
      <c r="G59" s="88"/>
      <c r="H59" s="88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90"/>
    </row>
    <row r="60" spans="1:50" s="91" customFormat="1" x14ac:dyDescent="0.3">
      <c r="A60" s="143" t="s">
        <v>180</v>
      </c>
      <c r="B60" s="142"/>
      <c r="C60" s="85"/>
      <c r="D60" s="86"/>
      <c r="E60" s="87"/>
      <c r="F60" s="90"/>
      <c r="G60" s="88"/>
      <c r="H60" s="88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V60" s="89"/>
      <c r="AW60" s="89"/>
      <c r="AX60" s="90"/>
    </row>
    <row r="61" spans="1:50" s="91" customFormat="1" x14ac:dyDescent="0.3">
      <c r="A61" s="143" t="s">
        <v>181</v>
      </c>
      <c r="B61" s="142"/>
      <c r="C61" s="85"/>
      <c r="D61" s="86"/>
      <c r="E61" s="87"/>
      <c r="F61" s="90"/>
      <c r="G61" s="88"/>
      <c r="H61" s="88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R61" s="89"/>
      <c r="AS61" s="89"/>
      <c r="AT61" s="89"/>
      <c r="AU61" s="89"/>
      <c r="AV61" s="89"/>
      <c r="AW61" s="89"/>
      <c r="AX61" s="90"/>
    </row>
    <row r="62" spans="1:50" s="91" customFormat="1" x14ac:dyDescent="0.3">
      <c r="A62" s="84" t="s">
        <v>182</v>
      </c>
      <c r="B62" s="142"/>
      <c r="C62" s="85"/>
      <c r="D62" s="86"/>
      <c r="E62" s="87"/>
      <c r="F62" s="90"/>
      <c r="G62" s="88"/>
      <c r="H62" s="88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R62" s="89"/>
      <c r="AS62" s="89"/>
      <c r="AT62" s="89"/>
      <c r="AU62" s="89"/>
      <c r="AV62" s="89"/>
      <c r="AW62" s="89"/>
      <c r="AX62" s="90"/>
    </row>
    <row r="63" spans="1:50" s="91" customFormat="1" x14ac:dyDescent="0.3">
      <c r="A63" s="84" t="s">
        <v>183</v>
      </c>
      <c r="B63" s="142"/>
      <c r="C63" s="85"/>
      <c r="D63" s="86"/>
      <c r="E63" s="87"/>
      <c r="F63" s="90"/>
      <c r="G63" s="88"/>
      <c r="H63" s="88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R63" s="89"/>
      <c r="AS63" s="89"/>
      <c r="AT63" s="89"/>
      <c r="AU63" s="89"/>
      <c r="AV63" s="89"/>
      <c r="AW63" s="89"/>
      <c r="AX63" s="90"/>
    </row>
    <row r="64" spans="1:50" s="91" customFormat="1" x14ac:dyDescent="0.3">
      <c r="A64" s="84" t="s">
        <v>184</v>
      </c>
      <c r="B64" s="142"/>
      <c r="C64" s="85"/>
      <c r="D64" s="86"/>
      <c r="E64" s="87"/>
      <c r="F64" s="90"/>
      <c r="G64" s="88"/>
      <c r="H64" s="88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R64" s="89"/>
      <c r="AS64" s="89"/>
      <c r="AT64" s="89"/>
      <c r="AU64" s="89"/>
      <c r="AV64" s="89"/>
      <c r="AW64" s="89"/>
      <c r="AX64" s="90"/>
    </row>
    <row r="65" spans="1:50" s="91" customFormat="1" x14ac:dyDescent="0.3">
      <c r="A65" s="84"/>
      <c r="B65" s="85"/>
      <c r="C65" s="85"/>
      <c r="D65" s="86"/>
      <c r="E65" s="85"/>
      <c r="F65" s="87"/>
      <c r="G65" s="88"/>
      <c r="H65" s="88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R65" s="89"/>
      <c r="AS65" s="89"/>
      <c r="AT65" s="89"/>
      <c r="AU65" s="89"/>
      <c r="AV65" s="89"/>
      <c r="AW65" s="89"/>
      <c r="AX65" s="90"/>
    </row>
  </sheetData>
  <mergeCells count="13">
    <mergeCell ref="A52:F52"/>
    <mergeCell ref="AO23:AO24"/>
    <mergeCell ref="A47:F47"/>
    <mergeCell ref="A48:F48"/>
    <mergeCell ref="A49:F49"/>
    <mergeCell ref="A50:F50"/>
    <mergeCell ref="A51:F51"/>
    <mergeCell ref="AU22:AV22"/>
    <mergeCell ref="A3:F3"/>
    <mergeCell ref="B14:F15"/>
    <mergeCell ref="A19:F19"/>
    <mergeCell ref="I22:AG22"/>
    <mergeCell ref="AH22:AS22"/>
  </mergeCells>
  <pageMargins left="0.7" right="0.7" top="0.75" bottom="0.75" header="0.3" footer="0.3"/>
  <pageSetup scale="83" orientation="portrait" horizontalDpi="4294967293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57205-95EE-4FB4-942B-B8000FF3DD49}">
  <dimension ref="B7:G71"/>
  <sheetViews>
    <sheetView topLeftCell="A59" workbookViewId="0">
      <selection activeCell="I8" sqref="I8"/>
    </sheetView>
  </sheetViews>
  <sheetFormatPr baseColWidth="10" defaultRowHeight="12.5" x14ac:dyDescent="0.25"/>
  <cols>
    <col min="1" max="2" width="10.90625" style="176"/>
    <col min="3" max="3" width="32.6328125" style="176" customWidth="1"/>
    <col min="4" max="4" width="18.26953125" style="176" customWidth="1"/>
    <col min="5" max="5" width="11.36328125" style="176" customWidth="1"/>
    <col min="6" max="6" width="12.54296875" style="176" customWidth="1"/>
    <col min="7" max="7" width="16.26953125" style="176" customWidth="1"/>
    <col min="8" max="16384" width="10.90625" style="176"/>
  </cols>
  <sheetData>
    <row r="7" spans="2:7" ht="13" x14ac:dyDescent="0.25">
      <c r="B7" s="111" t="s">
        <v>13</v>
      </c>
      <c r="C7" s="111" t="s">
        <v>14</v>
      </c>
      <c r="D7" s="111" t="s">
        <v>15</v>
      </c>
      <c r="E7" s="177" t="s">
        <v>16</v>
      </c>
      <c r="F7" s="111" t="s">
        <v>17</v>
      </c>
      <c r="G7" s="111" t="s">
        <v>18</v>
      </c>
    </row>
    <row r="8" spans="2:7" ht="16.5" customHeight="1" x14ac:dyDescent="0.25">
      <c r="B8" s="178">
        <v>1</v>
      </c>
      <c r="C8" s="179" t="s">
        <v>56</v>
      </c>
      <c r="D8" s="180"/>
      <c r="E8" s="181"/>
      <c r="F8" s="182"/>
      <c r="G8" s="183"/>
    </row>
    <row r="9" spans="2:7" ht="43.5" customHeight="1" x14ac:dyDescent="0.25">
      <c r="B9" s="184" t="s">
        <v>54</v>
      </c>
      <c r="C9" s="185" t="s">
        <v>58</v>
      </c>
      <c r="D9" s="186" t="s">
        <v>59</v>
      </c>
      <c r="E9" s="187">
        <v>2</v>
      </c>
      <c r="F9" s="45"/>
      <c r="G9" s="45">
        <f>+E9*F9</f>
        <v>0</v>
      </c>
    </row>
    <row r="10" spans="2:7" ht="43.5" customHeight="1" x14ac:dyDescent="0.25">
      <c r="B10" s="184" t="s">
        <v>60</v>
      </c>
      <c r="C10" s="185" t="s">
        <v>61</v>
      </c>
      <c r="D10" s="186" t="s">
        <v>59</v>
      </c>
      <c r="E10" s="187">
        <v>3</v>
      </c>
      <c r="F10" s="45"/>
      <c r="G10" s="45">
        <f t="shared" ref="G10:G46" si="0">+E10*F10</f>
        <v>0</v>
      </c>
    </row>
    <row r="11" spans="2:7" ht="52" customHeight="1" x14ac:dyDescent="0.25">
      <c r="B11" s="184" t="s">
        <v>62</v>
      </c>
      <c r="C11" s="185" t="s">
        <v>63</v>
      </c>
      <c r="D11" s="186" t="s">
        <v>59</v>
      </c>
      <c r="E11" s="187">
        <v>1</v>
      </c>
      <c r="F11" s="45"/>
      <c r="G11" s="45">
        <f t="shared" si="0"/>
        <v>0</v>
      </c>
    </row>
    <row r="12" spans="2:7" ht="27" customHeight="1" x14ac:dyDescent="0.25">
      <c r="B12" s="184" t="s">
        <v>64</v>
      </c>
      <c r="C12" s="185" t="s">
        <v>211</v>
      </c>
      <c r="D12" s="186" t="s">
        <v>59</v>
      </c>
      <c r="E12" s="187">
        <v>2</v>
      </c>
      <c r="F12" s="45"/>
      <c r="G12" s="45">
        <f t="shared" si="0"/>
        <v>0</v>
      </c>
    </row>
    <row r="13" spans="2:7" ht="34.5" customHeight="1" x14ac:dyDescent="0.25">
      <c r="B13" s="184" t="s">
        <v>66</v>
      </c>
      <c r="C13" s="185" t="s">
        <v>212</v>
      </c>
      <c r="D13" s="186" t="s">
        <v>59</v>
      </c>
      <c r="E13" s="187">
        <v>3</v>
      </c>
      <c r="F13" s="45"/>
      <c r="G13" s="45">
        <f t="shared" si="0"/>
        <v>0</v>
      </c>
    </row>
    <row r="14" spans="2:7" ht="30.5" customHeight="1" x14ac:dyDescent="0.25">
      <c r="B14" s="184" t="s">
        <v>68</v>
      </c>
      <c r="C14" s="185" t="s">
        <v>213</v>
      </c>
      <c r="D14" s="186" t="s">
        <v>59</v>
      </c>
      <c r="E14" s="187">
        <v>1</v>
      </c>
      <c r="F14" s="45"/>
      <c r="G14" s="45">
        <f t="shared" si="0"/>
        <v>0</v>
      </c>
    </row>
    <row r="15" spans="2:7" ht="15.5" customHeight="1" x14ac:dyDescent="0.25">
      <c r="B15" s="184" t="s">
        <v>70</v>
      </c>
      <c r="C15" s="185" t="s">
        <v>71</v>
      </c>
      <c r="D15" s="186" t="s">
        <v>59</v>
      </c>
      <c r="E15" s="187">
        <v>7</v>
      </c>
      <c r="F15" s="45"/>
      <c r="G15" s="45">
        <f t="shared" si="0"/>
        <v>0</v>
      </c>
    </row>
    <row r="16" spans="2:7" ht="13" x14ac:dyDescent="0.25">
      <c r="B16" s="178">
        <v>2</v>
      </c>
      <c r="C16" s="179" t="s">
        <v>72</v>
      </c>
      <c r="D16" s="180"/>
      <c r="E16" s="188"/>
      <c r="F16" s="188"/>
      <c r="G16" s="188"/>
    </row>
    <row r="17" spans="2:7" ht="20" customHeight="1" x14ac:dyDescent="0.25">
      <c r="B17" s="184" t="s">
        <v>73</v>
      </c>
      <c r="C17" s="185" t="s">
        <v>214</v>
      </c>
      <c r="D17" s="186" t="s">
        <v>59</v>
      </c>
      <c r="E17" s="187">
        <v>1</v>
      </c>
      <c r="F17" s="83"/>
      <c r="G17" s="45">
        <f t="shared" si="0"/>
        <v>0</v>
      </c>
    </row>
    <row r="18" spans="2:7" ht="35" customHeight="1" x14ac:dyDescent="0.25">
      <c r="B18" s="184" t="s">
        <v>75</v>
      </c>
      <c r="C18" s="185" t="s">
        <v>215</v>
      </c>
      <c r="D18" s="186" t="s">
        <v>59</v>
      </c>
      <c r="E18" s="187">
        <v>1</v>
      </c>
      <c r="F18" s="83"/>
      <c r="G18" s="45">
        <f t="shared" si="0"/>
        <v>0</v>
      </c>
    </row>
    <row r="19" spans="2:7" ht="33" customHeight="1" x14ac:dyDescent="0.25">
      <c r="B19" s="184" t="s">
        <v>77</v>
      </c>
      <c r="C19" s="185" t="s">
        <v>78</v>
      </c>
      <c r="D19" s="186" t="s">
        <v>59</v>
      </c>
      <c r="E19" s="187">
        <v>1</v>
      </c>
      <c r="F19" s="45"/>
      <c r="G19" s="45">
        <f t="shared" si="0"/>
        <v>0</v>
      </c>
    </row>
    <row r="20" spans="2:7" ht="18" customHeight="1" x14ac:dyDescent="0.25">
      <c r="B20" s="178">
        <v>3</v>
      </c>
      <c r="C20" s="179" t="s">
        <v>79</v>
      </c>
      <c r="D20" s="180"/>
      <c r="E20" s="188"/>
      <c r="F20" s="188"/>
      <c r="G20" s="188"/>
    </row>
    <row r="21" spans="2:7" ht="66" customHeight="1" x14ac:dyDescent="0.25">
      <c r="B21" s="184" t="s">
        <v>80</v>
      </c>
      <c r="C21" s="189" t="s">
        <v>81</v>
      </c>
      <c r="D21" s="186" t="s">
        <v>59</v>
      </c>
      <c r="E21" s="187">
        <v>15</v>
      </c>
      <c r="F21" s="45"/>
      <c r="G21" s="45">
        <f t="shared" si="0"/>
        <v>0</v>
      </c>
    </row>
    <row r="22" spans="2:7" ht="25" customHeight="1" x14ac:dyDescent="0.25">
      <c r="B22" s="184" t="s">
        <v>82</v>
      </c>
      <c r="C22" s="189" t="s">
        <v>83</v>
      </c>
      <c r="D22" s="186" t="s">
        <v>84</v>
      </c>
      <c r="E22" s="187">
        <v>7.74</v>
      </c>
      <c r="F22" s="45"/>
      <c r="G22" s="45">
        <f t="shared" si="0"/>
        <v>0</v>
      </c>
    </row>
    <row r="23" spans="2:7" ht="25.5" customHeight="1" x14ac:dyDescent="0.25">
      <c r="B23" s="184" t="s">
        <v>85</v>
      </c>
      <c r="C23" s="189" t="s">
        <v>86</v>
      </c>
      <c r="D23" s="186" t="s">
        <v>84</v>
      </c>
      <c r="E23" s="187">
        <v>27</v>
      </c>
      <c r="F23" s="45"/>
      <c r="G23" s="45">
        <f t="shared" si="0"/>
        <v>0</v>
      </c>
    </row>
    <row r="24" spans="2:7" ht="27.5" customHeight="1" x14ac:dyDescent="0.25">
      <c r="B24" s="184" t="s">
        <v>87</v>
      </c>
      <c r="C24" s="189" t="s">
        <v>88</v>
      </c>
      <c r="D24" s="186" t="s">
        <v>84</v>
      </c>
      <c r="E24" s="187">
        <v>49.875</v>
      </c>
      <c r="F24" s="45"/>
      <c r="G24" s="45">
        <f t="shared" si="0"/>
        <v>0</v>
      </c>
    </row>
    <row r="25" spans="2:7" ht="19.5" customHeight="1" x14ac:dyDescent="0.25">
      <c r="B25" s="184" t="s">
        <v>89</v>
      </c>
      <c r="C25" s="185" t="s">
        <v>90</v>
      </c>
      <c r="D25" s="186" t="s">
        <v>84</v>
      </c>
      <c r="E25" s="187">
        <v>23.732142857142858</v>
      </c>
      <c r="F25" s="45"/>
      <c r="G25" s="45">
        <f t="shared" si="0"/>
        <v>0</v>
      </c>
    </row>
    <row r="26" spans="2:7" ht="28.5" customHeight="1" x14ac:dyDescent="0.25">
      <c r="B26" s="184" t="s">
        <v>91</v>
      </c>
      <c r="C26" s="185" t="s">
        <v>92</v>
      </c>
      <c r="D26" s="186" t="s">
        <v>84</v>
      </c>
      <c r="E26" s="187">
        <v>30</v>
      </c>
      <c r="F26" s="45"/>
      <c r="G26" s="45">
        <f t="shared" si="0"/>
        <v>0</v>
      </c>
    </row>
    <row r="27" spans="2:7" ht="41.5" customHeight="1" x14ac:dyDescent="0.25">
      <c r="B27" s="184" t="s">
        <v>218</v>
      </c>
      <c r="C27" s="185" t="s">
        <v>219</v>
      </c>
      <c r="D27" s="186" t="s">
        <v>84</v>
      </c>
      <c r="E27" s="187">
        <v>60</v>
      </c>
      <c r="F27" s="45"/>
      <c r="G27" s="45">
        <f t="shared" si="0"/>
        <v>0</v>
      </c>
    </row>
    <row r="28" spans="2:7" ht="17" customHeight="1" x14ac:dyDescent="0.25">
      <c r="B28" s="178">
        <v>4</v>
      </c>
      <c r="C28" s="179" t="s">
        <v>93</v>
      </c>
      <c r="D28" s="180"/>
      <c r="E28" s="180"/>
      <c r="F28" s="180"/>
      <c r="G28" s="180"/>
    </row>
    <row r="29" spans="2:7" ht="29.5" customHeight="1" x14ac:dyDescent="0.25">
      <c r="B29" s="184" t="s">
        <v>94</v>
      </c>
      <c r="C29" s="185" t="s">
        <v>95</v>
      </c>
      <c r="D29" s="186" t="s">
        <v>59</v>
      </c>
      <c r="E29" s="187">
        <v>2</v>
      </c>
      <c r="F29" s="45"/>
      <c r="G29" s="45">
        <f t="shared" si="0"/>
        <v>0</v>
      </c>
    </row>
    <row r="30" spans="2:7" ht="43.5" customHeight="1" x14ac:dyDescent="0.25">
      <c r="B30" s="184" t="s">
        <v>96</v>
      </c>
      <c r="C30" s="185" t="s">
        <v>97</v>
      </c>
      <c r="D30" s="186" t="s">
        <v>59</v>
      </c>
      <c r="E30" s="187">
        <v>1</v>
      </c>
      <c r="F30" s="45"/>
      <c r="G30" s="45">
        <f t="shared" si="0"/>
        <v>0</v>
      </c>
    </row>
    <row r="31" spans="2:7" ht="29" customHeight="1" x14ac:dyDescent="0.25">
      <c r="B31" s="184" t="s">
        <v>98</v>
      </c>
      <c r="C31" s="185" t="s">
        <v>99</v>
      </c>
      <c r="D31" s="186" t="s">
        <v>59</v>
      </c>
      <c r="E31" s="187">
        <v>2</v>
      </c>
      <c r="F31" s="45"/>
      <c r="G31" s="45">
        <f t="shared" si="0"/>
        <v>0</v>
      </c>
    </row>
    <row r="32" spans="2:7" ht="13" x14ac:dyDescent="0.25">
      <c r="B32" s="178">
        <v>5</v>
      </c>
      <c r="C32" s="179" t="s">
        <v>100</v>
      </c>
      <c r="D32" s="180"/>
      <c r="E32" s="180"/>
      <c r="F32" s="180"/>
      <c r="G32" s="180"/>
    </row>
    <row r="33" spans="2:7" ht="32" customHeight="1" x14ac:dyDescent="0.25">
      <c r="B33" s="184" t="s">
        <v>101</v>
      </c>
      <c r="C33" s="185" t="s">
        <v>216</v>
      </c>
      <c r="D33" s="186" t="s">
        <v>84</v>
      </c>
      <c r="E33" s="187">
        <v>15</v>
      </c>
      <c r="F33" s="45"/>
      <c r="G33" s="45">
        <f t="shared" si="0"/>
        <v>0</v>
      </c>
    </row>
    <row r="34" spans="2:7" ht="35.5" customHeight="1" x14ac:dyDescent="0.25">
      <c r="B34" s="184" t="s">
        <v>103</v>
      </c>
      <c r="C34" s="185" t="s">
        <v>217</v>
      </c>
      <c r="D34" s="186" t="s">
        <v>84</v>
      </c>
      <c r="E34" s="187">
        <v>18</v>
      </c>
      <c r="F34" s="45"/>
      <c r="G34" s="45">
        <f t="shared" si="0"/>
        <v>0</v>
      </c>
    </row>
    <row r="35" spans="2:7" ht="13" x14ac:dyDescent="0.25">
      <c r="B35" s="178">
        <v>6</v>
      </c>
      <c r="C35" s="179" t="s">
        <v>105</v>
      </c>
      <c r="D35" s="180"/>
      <c r="E35" s="180"/>
      <c r="F35" s="180"/>
      <c r="G35" s="180"/>
    </row>
    <row r="36" spans="2:7" ht="33" customHeight="1" x14ac:dyDescent="0.25">
      <c r="B36" s="184" t="s">
        <v>106</v>
      </c>
      <c r="C36" s="185" t="s">
        <v>107</v>
      </c>
      <c r="D36" s="186" t="s">
        <v>84</v>
      </c>
      <c r="E36" s="187">
        <v>22.625</v>
      </c>
      <c r="F36" s="45"/>
      <c r="G36" s="45">
        <f>+E36*F36</f>
        <v>0</v>
      </c>
    </row>
    <row r="37" spans="2:7" ht="33" customHeight="1" x14ac:dyDescent="0.25">
      <c r="B37" s="184" t="s">
        <v>108</v>
      </c>
      <c r="C37" s="185" t="s">
        <v>109</v>
      </c>
      <c r="D37" s="186" t="s">
        <v>110</v>
      </c>
      <c r="E37" s="187">
        <v>4</v>
      </c>
      <c r="F37" s="45"/>
      <c r="G37" s="45">
        <f t="shared" si="0"/>
        <v>0</v>
      </c>
    </row>
    <row r="38" spans="2:7" ht="24.5" customHeight="1" x14ac:dyDescent="0.25">
      <c r="B38" s="184" t="s">
        <v>111</v>
      </c>
      <c r="C38" s="185" t="s">
        <v>112</v>
      </c>
      <c r="D38" s="186" t="s">
        <v>110</v>
      </c>
      <c r="E38" s="187">
        <v>1.2</v>
      </c>
      <c r="F38" s="45"/>
      <c r="G38" s="45">
        <f t="shared" si="0"/>
        <v>0</v>
      </c>
    </row>
    <row r="39" spans="2:7" ht="17.5" customHeight="1" x14ac:dyDescent="0.25">
      <c r="B39" s="184" t="s">
        <v>113</v>
      </c>
      <c r="C39" s="185" t="s">
        <v>114</v>
      </c>
      <c r="D39" s="186" t="s">
        <v>84</v>
      </c>
      <c r="E39" s="187">
        <v>1</v>
      </c>
      <c r="F39" s="45"/>
      <c r="G39" s="45">
        <f t="shared" si="0"/>
        <v>0</v>
      </c>
    </row>
    <row r="40" spans="2:7" ht="23.5" customHeight="1" x14ac:dyDescent="0.25">
      <c r="B40" s="178">
        <v>7</v>
      </c>
      <c r="C40" s="179" t="s">
        <v>115</v>
      </c>
      <c r="D40" s="179"/>
      <c r="E40" s="179"/>
      <c r="F40" s="179"/>
      <c r="G40" s="179"/>
    </row>
    <row r="41" spans="2:7" ht="33" customHeight="1" x14ac:dyDescent="0.25">
      <c r="B41" s="184" t="s">
        <v>116</v>
      </c>
      <c r="C41" s="185" t="s">
        <v>117</v>
      </c>
      <c r="D41" s="186" t="s">
        <v>110</v>
      </c>
      <c r="E41" s="187">
        <v>15.3</v>
      </c>
      <c r="F41" s="45"/>
      <c r="G41" s="45">
        <f>+E41*F41</f>
        <v>0</v>
      </c>
    </row>
    <row r="42" spans="2:7" ht="39" customHeight="1" x14ac:dyDescent="0.25">
      <c r="B42" s="184" t="s">
        <v>118</v>
      </c>
      <c r="C42" s="185" t="s">
        <v>119</v>
      </c>
      <c r="D42" s="186" t="s">
        <v>59</v>
      </c>
      <c r="E42" s="187">
        <v>1</v>
      </c>
      <c r="F42" s="45"/>
      <c r="G42" s="45">
        <f>+E42*F42</f>
        <v>0</v>
      </c>
    </row>
    <row r="43" spans="2:7" ht="40" customHeight="1" x14ac:dyDescent="0.25">
      <c r="B43" s="184" t="s">
        <v>120</v>
      </c>
      <c r="C43" s="185" t="s">
        <v>121</v>
      </c>
      <c r="D43" s="186" t="s">
        <v>59</v>
      </c>
      <c r="E43" s="187">
        <v>1</v>
      </c>
      <c r="F43" s="45"/>
      <c r="G43" s="45">
        <f>+E43*F43</f>
        <v>0</v>
      </c>
    </row>
    <row r="44" spans="2:7" ht="39" customHeight="1" x14ac:dyDescent="0.25">
      <c r="B44" s="184" t="s">
        <v>122</v>
      </c>
      <c r="C44" s="185" t="s">
        <v>123</v>
      </c>
      <c r="D44" s="186" t="s">
        <v>59</v>
      </c>
      <c r="E44" s="187">
        <v>1</v>
      </c>
      <c r="F44" s="45"/>
      <c r="G44" s="45">
        <f>+E44*F44</f>
        <v>0</v>
      </c>
    </row>
    <row r="45" spans="2:7" ht="50.5" customHeight="1" x14ac:dyDescent="0.25">
      <c r="B45" s="184" t="s">
        <v>124</v>
      </c>
      <c r="C45" s="185" t="s">
        <v>125</v>
      </c>
      <c r="D45" s="186" t="s">
        <v>59</v>
      </c>
      <c r="E45" s="187">
        <v>12</v>
      </c>
      <c r="F45" s="45"/>
      <c r="G45" s="45">
        <f t="shared" si="0"/>
        <v>0</v>
      </c>
    </row>
    <row r="46" spans="2:7" ht="65" customHeight="1" x14ac:dyDescent="0.25">
      <c r="B46" s="184" t="s">
        <v>126</v>
      </c>
      <c r="C46" s="185" t="s">
        <v>127</v>
      </c>
      <c r="D46" s="186" t="s">
        <v>128</v>
      </c>
      <c r="E46" s="187">
        <v>1</v>
      </c>
      <c r="F46" s="45"/>
      <c r="G46" s="45">
        <f t="shared" si="0"/>
        <v>0</v>
      </c>
    </row>
    <row r="47" spans="2:7" ht="13" x14ac:dyDescent="0.25">
      <c r="B47" s="178">
        <v>8</v>
      </c>
      <c r="C47" s="179" t="s">
        <v>129</v>
      </c>
      <c r="D47" s="179"/>
      <c r="E47" s="179"/>
      <c r="F47" s="179"/>
      <c r="G47" s="179"/>
    </row>
    <row r="48" spans="2:7" ht="54" customHeight="1" x14ac:dyDescent="0.25">
      <c r="B48" s="184" t="s">
        <v>130</v>
      </c>
      <c r="C48" s="185" t="s">
        <v>131</v>
      </c>
      <c r="D48" s="186" t="s">
        <v>128</v>
      </c>
      <c r="E48" s="187">
        <v>1</v>
      </c>
      <c r="F48" s="45"/>
      <c r="G48" s="45">
        <f t="shared" ref="G48:G66" si="1">+E48*F48</f>
        <v>0</v>
      </c>
    </row>
    <row r="49" spans="2:7" ht="30.5" customHeight="1" x14ac:dyDescent="0.25">
      <c r="B49" s="184" t="s">
        <v>132</v>
      </c>
      <c r="C49" s="185" t="s">
        <v>133</v>
      </c>
      <c r="D49" s="186" t="s">
        <v>59</v>
      </c>
      <c r="E49" s="187">
        <v>2</v>
      </c>
      <c r="F49" s="45"/>
      <c r="G49" s="45">
        <f t="shared" si="1"/>
        <v>0</v>
      </c>
    </row>
    <row r="50" spans="2:7" ht="59" customHeight="1" x14ac:dyDescent="0.25">
      <c r="B50" s="184" t="s">
        <v>134</v>
      </c>
      <c r="C50" s="185" t="s">
        <v>135</v>
      </c>
      <c r="D50" s="186" t="s">
        <v>59</v>
      </c>
      <c r="E50" s="187">
        <v>1</v>
      </c>
      <c r="F50" s="45"/>
      <c r="G50" s="45">
        <f t="shared" si="1"/>
        <v>0</v>
      </c>
    </row>
    <row r="51" spans="2:7" ht="30.5" customHeight="1" x14ac:dyDescent="0.25">
      <c r="B51" s="184" t="s">
        <v>136</v>
      </c>
      <c r="C51" s="185" t="s">
        <v>137</v>
      </c>
      <c r="D51" s="186" t="s">
        <v>59</v>
      </c>
      <c r="E51" s="187">
        <v>16</v>
      </c>
      <c r="F51" s="45"/>
      <c r="G51" s="45">
        <f t="shared" si="1"/>
        <v>0</v>
      </c>
    </row>
    <row r="52" spans="2:7" ht="37" customHeight="1" x14ac:dyDescent="0.25">
      <c r="B52" s="184" t="s">
        <v>138</v>
      </c>
      <c r="C52" s="185" t="s">
        <v>220</v>
      </c>
      <c r="D52" s="186" t="s">
        <v>110</v>
      </c>
      <c r="E52" s="187">
        <v>36</v>
      </c>
      <c r="F52" s="45"/>
      <c r="G52" s="45">
        <f t="shared" si="1"/>
        <v>0</v>
      </c>
    </row>
    <row r="53" spans="2:7" ht="27.5" customHeight="1" x14ac:dyDescent="0.25">
      <c r="B53" s="184" t="s">
        <v>140</v>
      </c>
      <c r="C53" s="185" t="s">
        <v>221</v>
      </c>
      <c r="D53" s="186" t="s">
        <v>110</v>
      </c>
      <c r="E53" s="187">
        <v>24</v>
      </c>
      <c r="F53" s="45"/>
      <c r="G53" s="45">
        <f t="shared" si="1"/>
        <v>0</v>
      </c>
    </row>
    <row r="54" spans="2:7" ht="25.5" customHeight="1" x14ac:dyDescent="0.25">
      <c r="B54" s="184" t="s">
        <v>142</v>
      </c>
      <c r="C54" s="185" t="s">
        <v>222</v>
      </c>
      <c r="D54" s="186" t="s">
        <v>59</v>
      </c>
      <c r="E54" s="187">
        <v>15</v>
      </c>
      <c r="F54" s="45"/>
      <c r="G54" s="45">
        <f t="shared" si="1"/>
        <v>0</v>
      </c>
    </row>
    <row r="55" spans="2:7" ht="34" customHeight="1" x14ac:dyDescent="0.25">
      <c r="B55" s="184" t="s">
        <v>144</v>
      </c>
      <c r="C55" s="185" t="s">
        <v>223</v>
      </c>
      <c r="D55" s="186" t="s">
        <v>110</v>
      </c>
      <c r="E55" s="187">
        <v>100</v>
      </c>
      <c r="F55" s="45"/>
      <c r="G55" s="45">
        <f t="shared" si="1"/>
        <v>0</v>
      </c>
    </row>
    <row r="56" spans="2:7" ht="23" customHeight="1" x14ac:dyDescent="0.25">
      <c r="B56" s="178">
        <v>9</v>
      </c>
      <c r="C56" s="179" t="s">
        <v>146</v>
      </c>
      <c r="D56" s="179"/>
      <c r="E56" s="179"/>
      <c r="F56" s="179"/>
      <c r="G56" s="179"/>
    </row>
    <row r="57" spans="2:7" ht="94.5" customHeight="1" x14ac:dyDescent="0.25">
      <c r="B57" s="184" t="s">
        <v>147</v>
      </c>
      <c r="C57" s="185" t="s">
        <v>192</v>
      </c>
      <c r="D57" s="186" t="s">
        <v>84</v>
      </c>
      <c r="E57" s="187">
        <v>1972.2500000000002</v>
      </c>
      <c r="F57" s="45"/>
      <c r="G57" s="45">
        <f t="shared" si="1"/>
        <v>0</v>
      </c>
    </row>
    <row r="58" spans="2:7" ht="98.5" customHeight="1" x14ac:dyDescent="0.25">
      <c r="B58" s="184" t="s">
        <v>148</v>
      </c>
      <c r="C58" s="185" t="s">
        <v>149</v>
      </c>
      <c r="D58" s="186" t="s">
        <v>84</v>
      </c>
      <c r="E58" s="187">
        <v>470</v>
      </c>
      <c r="F58" s="45"/>
      <c r="G58" s="45">
        <f t="shared" si="1"/>
        <v>0</v>
      </c>
    </row>
    <row r="59" spans="2:7" ht="54" customHeight="1" x14ac:dyDescent="0.25">
      <c r="B59" s="184" t="s">
        <v>150</v>
      </c>
      <c r="C59" s="185" t="s">
        <v>151</v>
      </c>
      <c r="D59" s="186" t="s">
        <v>84</v>
      </c>
      <c r="E59" s="187">
        <v>264</v>
      </c>
      <c r="F59" s="45"/>
      <c r="G59" s="45">
        <f t="shared" si="1"/>
        <v>0</v>
      </c>
    </row>
    <row r="60" spans="2:7" ht="20" customHeight="1" x14ac:dyDescent="0.25">
      <c r="B60" s="184" t="s">
        <v>152</v>
      </c>
      <c r="C60" s="185" t="s">
        <v>153</v>
      </c>
      <c r="D60" s="186" t="s">
        <v>84</v>
      </c>
      <c r="E60" s="187">
        <v>146</v>
      </c>
      <c r="F60" s="45"/>
      <c r="G60" s="45">
        <f t="shared" si="1"/>
        <v>0</v>
      </c>
    </row>
    <row r="61" spans="2:7" ht="26.5" customHeight="1" x14ac:dyDescent="0.25">
      <c r="B61" s="184" t="s">
        <v>154</v>
      </c>
      <c r="C61" s="185" t="s">
        <v>155</v>
      </c>
      <c r="D61" s="186" t="s">
        <v>110</v>
      </c>
      <c r="E61" s="187">
        <v>116</v>
      </c>
      <c r="F61" s="45"/>
      <c r="G61" s="45">
        <f t="shared" si="1"/>
        <v>0</v>
      </c>
    </row>
    <row r="62" spans="2:7" ht="27" customHeight="1" x14ac:dyDescent="0.25">
      <c r="B62" s="184" t="s">
        <v>156</v>
      </c>
      <c r="C62" s="185" t="s">
        <v>157</v>
      </c>
      <c r="D62" s="186" t="s">
        <v>110</v>
      </c>
      <c r="E62" s="187">
        <v>47</v>
      </c>
      <c r="F62" s="45"/>
      <c r="G62" s="45">
        <f t="shared" si="1"/>
        <v>0</v>
      </c>
    </row>
    <row r="63" spans="2:7" ht="21" customHeight="1" x14ac:dyDescent="0.25">
      <c r="B63" s="184" t="s">
        <v>158</v>
      </c>
      <c r="C63" s="185" t="s">
        <v>159</v>
      </c>
      <c r="D63" s="186" t="s">
        <v>110</v>
      </c>
      <c r="E63" s="187">
        <v>38</v>
      </c>
      <c r="F63" s="45"/>
      <c r="G63" s="45">
        <f t="shared" si="1"/>
        <v>0</v>
      </c>
    </row>
    <row r="64" spans="2:7" ht="13" customHeight="1" x14ac:dyDescent="0.25">
      <c r="B64" s="184" t="s">
        <v>160</v>
      </c>
      <c r="C64" s="185" t="s">
        <v>161</v>
      </c>
      <c r="D64" s="186" t="s">
        <v>59</v>
      </c>
      <c r="E64" s="187">
        <v>2</v>
      </c>
      <c r="F64" s="45"/>
      <c r="G64" s="45">
        <f t="shared" si="1"/>
        <v>0</v>
      </c>
    </row>
    <row r="65" spans="2:7" ht="10.5" customHeight="1" x14ac:dyDescent="0.25">
      <c r="B65" s="184" t="s">
        <v>162</v>
      </c>
      <c r="C65" s="185" t="s">
        <v>163</v>
      </c>
      <c r="D65" s="186" t="s">
        <v>84</v>
      </c>
      <c r="E65" s="187">
        <v>3</v>
      </c>
      <c r="F65" s="45"/>
      <c r="G65" s="45">
        <f t="shared" si="1"/>
        <v>0</v>
      </c>
    </row>
    <row r="66" spans="2:7" ht="13.5" customHeight="1" x14ac:dyDescent="0.25">
      <c r="B66" s="184" t="s">
        <v>164</v>
      </c>
      <c r="C66" s="185" t="s">
        <v>165</v>
      </c>
      <c r="D66" s="186" t="s">
        <v>59</v>
      </c>
      <c r="E66" s="187">
        <v>4</v>
      </c>
      <c r="F66" s="45"/>
      <c r="G66" s="45">
        <f t="shared" si="1"/>
        <v>0</v>
      </c>
    </row>
    <row r="67" spans="2:7" ht="13" x14ac:dyDescent="0.25">
      <c r="B67" s="184"/>
      <c r="C67" s="185"/>
      <c r="D67" s="186"/>
      <c r="E67" s="187"/>
      <c r="F67" s="45"/>
      <c r="G67" s="45"/>
    </row>
    <row r="68" spans="2:7" ht="13" x14ac:dyDescent="0.25">
      <c r="B68" s="190"/>
      <c r="C68" s="127" t="s">
        <v>166</v>
      </c>
      <c r="D68" s="191"/>
      <c r="E68" s="192"/>
      <c r="F68" s="191"/>
      <c r="G68" s="193"/>
    </row>
    <row r="69" spans="2:7" ht="13" x14ac:dyDescent="0.3">
      <c r="B69" s="190"/>
      <c r="C69" s="127" t="s">
        <v>167</v>
      </c>
      <c r="D69" s="191"/>
      <c r="E69" s="194">
        <v>0.2</v>
      </c>
      <c r="F69" s="191"/>
      <c r="G69" s="193">
        <f>+E69*G68</f>
        <v>0</v>
      </c>
    </row>
    <row r="70" spans="2:7" ht="13" x14ac:dyDescent="0.3">
      <c r="B70" s="190"/>
      <c r="C70" s="127" t="s">
        <v>168</v>
      </c>
      <c r="D70" s="191"/>
      <c r="E70" s="195">
        <v>0.05</v>
      </c>
      <c r="F70" s="196"/>
      <c r="G70" s="193">
        <f>+E70*G68</f>
        <v>0</v>
      </c>
    </row>
    <row r="71" spans="2:7" ht="13" x14ac:dyDescent="0.25">
      <c r="B71" s="197"/>
      <c r="C71" s="127" t="s">
        <v>169</v>
      </c>
      <c r="D71" s="127"/>
      <c r="E71" s="198"/>
      <c r="F71" s="127"/>
      <c r="G71" s="193">
        <f>SUM(G68:G70)</f>
        <v>0</v>
      </c>
    </row>
  </sheetData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8DC81-1EDB-4E77-9A17-5136035BED69}">
  <dimension ref="B6:J22"/>
  <sheetViews>
    <sheetView tabSelected="1" workbookViewId="0">
      <selection activeCell="J7" sqref="J7"/>
    </sheetView>
  </sheetViews>
  <sheetFormatPr baseColWidth="10" defaultRowHeight="12.5" x14ac:dyDescent="0.25"/>
  <cols>
    <col min="1" max="2" width="10.90625" style="176"/>
    <col min="3" max="3" width="38.36328125" style="176" customWidth="1"/>
    <col min="4" max="4" width="7.7265625" style="176" customWidth="1"/>
    <col min="5" max="5" width="11.08984375" style="176" customWidth="1"/>
    <col min="6" max="6" width="13.81640625" style="176" customWidth="1"/>
    <col min="7" max="16384" width="10.90625" style="176"/>
  </cols>
  <sheetData>
    <row r="6" spans="2:10" ht="26" x14ac:dyDescent="0.25">
      <c r="B6" s="111" t="s">
        <v>13</v>
      </c>
      <c r="C6" s="111" t="s">
        <v>14</v>
      </c>
      <c r="D6" s="111" t="s">
        <v>15</v>
      </c>
      <c r="E6" s="177" t="s">
        <v>16</v>
      </c>
      <c r="F6" s="111" t="s">
        <v>17</v>
      </c>
      <c r="G6" s="111" t="s">
        <v>18</v>
      </c>
    </row>
    <row r="7" spans="2:10" ht="13" x14ac:dyDescent="0.25">
      <c r="B7" s="109"/>
      <c r="C7" s="179"/>
      <c r="D7" s="111"/>
      <c r="E7" s="177"/>
      <c r="F7" s="111"/>
      <c r="G7" s="111"/>
    </row>
    <row r="8" spans="2:10" ht="31.5" customHeight="1" x14ac:dyDescent="0.25">
      <c r="B8" s="184">
        <v>1</v>
      </c>
      <c r="C8" s="185" t="s">
        <v>197</v>
      </c>
      <c r="D8" s="186" t="s">
        <v>59</v>
      </c>
      <c r="E8" s="187">
        <v>2</v>
      </c>
      <c r="F8" s="45"/>
      <c r="G8" s="45">
        <f>+E8*F8</f>
        <v>0</v>
      </c>
      <c r="J8" s="199"/>
    </row>
    <row r="9" spans="2:10" ht="31.5" customHeight="1" x14ac:dyDescent="0.25">
      <c r="B9" s="184">
        <v>2</v>
      </c>
      <c r="C9" s="185" t="s">
        <v>198</v>
      </c>
      <c r="D9" s="186" t="s">
        <v>59</v>
      </c>
      <c r="E9" s="187">
        <v>3</v>
      </c>
      <c r="F9" s="45"/>
      <c r="G9" s="45">
        <f t="shared" ref="G9:G19" si="0">+E9*F9</f>
        <v>0</v>
      </c>
    </row>
    <row r="10" spans="2:10" ht="40" customHeight="1" x14ac:dyDescent="0.25">
      <c r="B10" s="184">
        <v>3</v>
      </c>
      <c r="C10" s="185" t="s">
        <v>199</v>
      </c>
      <c r="D10" s="186" t="s">
        <v>59</v>
      </c>
      <c r="E10" s="187">
        <v>1</v>
      </c>
      <c r="F10" s="45"/>
      <c r="G10" s="45">
        <f t="shared" si="0"/>
        <v>0</v>
      </c>
    </row>
    <row r="11" spans="2:10" ht="21" customHeight="1" x14ac:dyDescent="0.25">
      <c r="B11" s="184">
        <v>4</v>
      </c>
      <c r="C11" s="185" t="s">
        <v>200</v>
      </c>
      <c r="D11" s="186" t="s">
        <v>59</v>
      </c>
      <c r="E11" s="187">
        <v>1</v>
      </c>
      <c r="F11" s="45"/>
      <c r="G11" s="45">
        <f t="shared" si="0"/>
        <v>0</v>
      </c>
    </row>
    <row r="12" spans="2:10" ht="25" customHeight="1" x14ac:dyDescent="0.25">
      <c r="B12" s="184">
        <v>5</v>
      </c>
      <c r="C12" s="185" t="s">
        <v>201</v>
      </c>
      <c r="D12" s="186" t="s">
        <v>59</v>
      </c>
      <c r="E12" s="187">
        <v>1</v>
      </c>
      <c r="F12" s="45"/>
      <c r="G12" s="45">
        <f t="shared" si="0"/>
        <v>0</v>
      </c>
    </row>
    <row r="13" spans="2:10" ht="28.5" customHeight="1" x14ac:dyDescent="0.25">
      <c r="B13" s="184">
        <v>6</v>
      </c>
      <c r="C13" s="185" t="s">
        <v>202</v>
      </c>
      <c r="D13" s="186" t="s">
        <v>84</v>
      </c>
      <c r="E13" s="187">
        <v>15</v>
      </c>
      <c r="F13" s="45"/>
      <c r="G13" s="45">
        <f t="shared" si="0"/>
        <v>0</v>
      </c>
    </row>
    <row r="14" spans="2:10" ht="32" customHeight="1" x14ac:dyDescent="0.25">
      <c r="B14" s="184">
        <v>7</v>
      </c>
      <c r="C14" s="185" t="s">
        <v>203</v>
      </c>
      <c r="D14" s="186" t="s">
        <v>84</v>
      </c>
      <c r="E14" s="187">
        <v>18</v>
      </c>
      <c r="F14" s="45"/>
      <c r="G14" s="45">
        <f t="shared" si="0"/>
        <v>0</v>
      </c>
    </row>
    <row r="15" spans="2:10" ht="32" customHeight="1" x14ac:dyDescent="0.25">
      <c r="B15" s="184">
        <v>8</v>
      </c>
      <c r="C15" s="185" t="s">
        <v>137</v>
      </c>
      <c r="D15" s="186" t="s">
        <v>59</v>
      </c>
      <c r="E15" s="187">
        <v>16</v>
      </c>
      <c r="F15" s="45"/>
      <c r="G15" s="45">
        <f t="shared" si="0"/>
        <v>0</v>
      </c>
    </row>
    <row r="16" spans="2:10" ht="34.5" customHeight="1" x14ac:dyDescent="0.25">
      <c r="B16" s="184">
        <v>9</v>
      </c>
      <c r="C16" s="185" t="s">
        <v>204</v>
      </c>
      <c r="D16" s="186" t="s">
        <v>110</v>
      </c>
      <c r="E16" s="187">
        <v>36</v>
      </c>
      <c r="F16" s="45"/>
      <c r="G16" s="45">
        <f t="shared" si="0"/>
        <v>0</v>
      </c>
    </row>
    <row r="17" spans="2:7" ht="47.5" customHeight="1" x14ac:dyDescent="0.25">
      <c r="B17" s="184">
        <v>10</v>
      </c>
      <c r="C17" s="185" t="s">
        <v>205</v>
      </c>
      <c r="D17" s="186" t="s">
        <v>110</v>
      </c>
      <c r="E17" s="187">
        <v>24</v>
      </c>
      <c r="F17" s="45"/>
      <c r="G17" s="45">
        <f t="shared" si="0"/>
        <v>0</v>
      </c>
    </row>
    <row r="18" spans="2:7" ht="38" customHeight="1" x14ac:dyDescent="0.25">
      <c r="B18" s="184">
        <v>11</v>
      </c>
      <c r="C18" s="185" t="s">
        <v>206</v>
      </c>
      <c r="D18" s="186" t="s">
        <v>59</v>
      </c>
      <c r="E18" s="187">
        <v>15</v>
      </c>
      <c r="F18" s="45"/>
      <c r="G18" s="45">
        <f t="shared" si="0"/>
        <v>0</v>
      </c>
    </row>
    <row r="19" spans="2:7" ht="41" customHeight="1" x14ac:dyDescent="0.25">
      <c r="B19" s="184">
        <v>12</v>
      </c>
      <c r="C19" s="185" t="s">
        <v>207</v>
      </c>
      <c r="D19" s="186" t="s">
        <v>110</v>
      </c>
      <c r="E19" s="187">
        <v>100</v>
      </c>
      <c r="F19" s="45"/>
      <c r="G19" s="45">
        <f t="shared" si="0"/>
        <v>0</v>
      </c>
    </row>
    <row r="20" spans="2:7" ht="13" x14ac:dyDescent="0.25">
      <c r="B20" s="184"/>
      <c r="C20" s="127" t="s">
        <v>166</v>
      </c>
      <c r="D20" s="191"/>
      <c r="E20" s="192"/>
      <c r="F20" s="191"/>
      <c r="G20" s="193">
        <f>SUM(G8:G19)</f>
        <v>0</v>
      </c>
    </row>
    <row r="21" spans="2:7" ht="14" x14ac:dyDescent="0.3">
      <c r="B21" s="190"/>
      <c r="C21" s="127" t="s">
        <v>208</v>
      </c>
      <c r="D21" s="191"/>
      <c r="E21" s="113"/>
      <c r="F21" s="191"/>
      <c r="G21" s="193">
        <f>+G20*0.19</f>
        <v>0</v>
      </c>
    </row>
    <row r="22" spans="2:7" ht="13" x14ac:dyDescent="0.25">
      <c r="B22" s="197"/>
      <c r="C22" s="127" t="s">
        <v>169</v>
      </c>
      <c r="D22" s="127"/>
      <c r="E22" s="198"/>
      <c r="F22" s="127"/>
      <c r="G22" s="193">
        <f>SUM(G20:G21)</f>
        <v>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8FEBCA92816F4AA36F6446CDE75B0C" ma:contentTypeVersion="11" ma:contentTypeDescription="Crear nuevo documento." ma:contentTypeScope="" ma:versionID="5f4692a782d8c70862c75fe4a7f2c453">
  <xsd:schema xmlns:xsd="http://www.w3.org/2001/XMLSchema" xmlns:xs="http://www.w3.org/2001/XMLSchema" xmlns:p="http://schemas.microsoft.com/office/2006/metadata/properties" xmlns:ns2="b8a9eed0-fd3a-47c8-9d90-c1fc72a2ab79" xmlns:ns3="3f3b6c3e-a128-46e8-bf3a-e6a0be7fdfb5" targetNamespace="http://schemas.microsoft.com/office/2006/metadata/properties" ma:root="true" ma:fieldsID="fe2bcf0c0c01f754da981a8a638d1280" ns2:_="" ns3:_="">
    <xsd:import namespace="b8a9eed0-fd3a-47c8-9d90-c1fc72a2ab79"/>
    <xsd:import namespace="3f3b6c3e-a128-46e8-bf3a-e6a0be7fdf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9eed0-fd3a-47c8-9d90-c1fc72a2ab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cfb21510-13bf-4824-bf9e-346db0d606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3b6c3e-a128-46e8-bf3a-e6a0be7fdfb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8cbf696-615b-4649-a8d1-5bb737c6348c}" ma:internalName="TaxCatchAll" ma:showField="CatchAllData" ma:web="3f3b6c3e-a128-46e8-bf3a-e6a0be7fdf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f3b6c3e-a128-46e8-bf3a-e6a0be7fdfb5" xsi:nil="true"/>
    <lcf76f155ced4ddcb4097134ff3c332f xmlns="b8a9eed0-fd3a-47c8-9d90-c1fc72a2ab7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186207-2ABC-4712-9D74-6CF9401B2D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0B8B6A-CEE0-4411-8703-E19A867379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a9eed0-fd3a-47c8-9d90-c1fc72a2ab79"/>
    <ds:schemaRef ds:uri="3f3b6c3e-a128-46e8-bf3a-e6a0be7fdf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FD3EB9-07D1-4DFF-B5B3-843BD36735A6}">
  <ds:schemaRefs>
    <ds:schemaRef ds:uri="http://www.w3.org/XML/1998/namespace"/>
    <ds:schemaRef ds:uri="http://schemas.microsoft.com/office/2006/documentManagement/types"/>
    <ds:schemaRef ds:uri="3f3b6c3e-a128-46e8-bf3a-e6a0be7fdfb5"/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b8a9eed0-fd3a-47c8-9d90-c1fc72a2ab7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23Feb</vt:lpstr>
      <vt:lpstr>AU-27Feb</vt:lpstr>
      <vt:lpstr>IVA-27Feb</vt:lpstr>
      <vt:lpstr>AU</vt:lpstr>
      <vt:lpstr>IVA</vt:lpstr>
      <vt:lpstr>'23Feb'!Área_de_impresión</vt:lpstr>
      <vt:lpstr>'AU-27Feb'!Área_de_impresión</vt:lpstr>
      <vt:lpstr>'IVA-27Feb'!Área_de_impresión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Héctor Edgar Cifuentes Herrón</cp:lastModifiedBy>
  <dcterms:created xsi:type="dcterms:W3CDTF">2023-02-21T23:17:07Z</dcterms:created>
  <dcterms:modified xsi:type="dcterms:W3CDTF">2023-03-17T18:17:50Z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0x0101006F8FEBCA92816F4AA36F6446CDE75B0C</vt:lpwstr>
  </property>
  <property fmtid="{D5CDD505-2E9C-101B-9397-08002B2CF9AE}" pid="3" name="MediaServiceImageTags">
    <vt:lpwstr/>
  </property>
</Properties>
</file>